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0" yWindow="300" windowWidth="9270" windowHeight="4665" tabRatio="624" firstSheet="3" activeTab="7"/>
  </bookViews>
  <sheets>
    <sheet name="Hoja1" sheetId="156" r:id="rId1"/>
    <sheet name="DISTRIBUCION PRESUP. 2018" sheetId="161" r:id="rId2"/>
    <sheet name="CAJA MENOR 2018" sheetId="126" r:id="rId3"/>
    <sheet name="SEGUIMIENTO CONTRATOS 2018 (2)" sheetId="163" r:id="rId4"/>
    <sheet name="PLAN NECES DESPURADO 2-01-2018" sheetId="158" r:id="rId5"/>
    <sheet name="traslados (2)" sheetId="142" r:id="rId6"/>
    <sheet name="PAA-PRESUP 19-02- 2018" sheetId="159" r:id="rId7"/>
    <sheet name="PAA -19-02-2018" sheetId="162" r:id="rId8"/>
  </sheets>
  <externalReferences>
    <externalReference r:id="rId9"/>
    <externalReference r:id="rId10"/>
    <externalReference r:id="rId11"/>
    <externalReference r:id="rId12"/>
  </externalReferences>
  <definedNames>
    <definedName name="_xlnm._FilterDatabase" localSheetId="2" hidden="1">'CAJA MENOR 2018'!#REF!</definedName>
    <definedName name="_xlnm._FilterDatabase" localSheetId="7" hidden="1">'PAA -19-02-2018'!$A$19:$AG$244</definedName>
    <definedName name="_xlnm._FilterDatabase" localSheetId="6" hidden="1">'PAA-PRESUP 19-02- 2018'!$A$96:$P$110</definedName>
    <definedName name="_xlnm._FilterDatabase" localSheetId="4" hidden="1">'PLAN NECES DESPURADO 2-01-2018'!$A$19:$R$185</definedName>
    <definedName name="_xlnm._FilterDatabase" localSheetId="3" hidden="1">'SEGUIMIENTO CONTRATOS 2018 (2)'!$A$1:$CU$155</definedName>
    <definedName name="_Toc286262450" localSheetId="3">'SEGUIMIENTO CONTRATOS 2018 (2)'!#REF!</definedName>
    <definedName name="_xlnm.Print_Area" localSheetId="7">'PAA -19-02-2018'!$A$1:$P$246</definedName>
    <definedName name="_xlnm.Print_Area" localSheetId="6">'PAA-PRESUP 19-02- 2018'!$A$1:$AQ$127</definedName>
    <definedName name="_xlnm.Print_Area" localSheetId="3">'SEGUIMIENTO CONTRATOS 2018 (2)'!$B$1:$AJ$4</definedName>
    <definedName name="base_1">[1]BASE_DATOS!$A$1:$C$147</definedName>
    <definedName name="ELEMENTOS_DE_ASEO">"BASE_DATOS"</definedName>
    <definedName name="Fuente3">[2]Hoja2!$A$1:$C$207</definedName>
    <definedName name="JUAN" localSheetId="2">#REF!</definedName>
    <definedName name="JUAN" localSheetId="7">#REF!</definedName>
    <definedName name="JUAN" localSheetId="6">#REF!</definedName>
    <definedName name="JUAN" localSheetId="5">#REF!</definedName>
    <definedName name="JUAN">#REF!</definedName>
    <definedName name="julian" localSheetId="7">#REF!</definedName>
    <definedName name="julian" localSheetId="6">#REF!</definedName>
    <definedName name="julian">#REF!</definedName>
    <definedName name="MAO">'[3]PLAN COMPRAS_2003'!$A$4:$D$382</definedName>
    <definedName name="MOA">'[3]PLAN COMPRAS_2003'!$A$4:$D$382</definedName>
    <definedName name="RUTH" localSheetId="7">#REF!</definedName>
    <definedName name="RUTH" localSheetId="6">#REF!</definedName>
    <definedName name="RUTH">#REF!</definedName>
    <definedName name="_xlnm.Print_Titles" localSheetId="7">'PAA -19-02-2018'!$19:$19</definedName>
  </definedNames>
  <calcPr calcId="145621"/>
</workbook>
</file>

<file path=xl/calcChain.xml><?xml version="1.0" encoding="utf-8"?>
<calcChain xmlns="http://schemas.openxmlformats.org/spreadsheetml/2006/main">
  <c r="R102" i="162" l="1"/>
  <c r="S102" i="162"/>
  <c r="T102" i="162"/>
  <c r="U102" i="162"/>
  <c r="V102" i="162"/>
  <c r="W102" i="162"/>
  <c r="X102" i="162"/>
  <c r="Y102" i="162"/>
  <c r="Z102" i="162"/>
  <c r="AA102" i="162"/>
  <c r="AB102" i="162"/>
  <c r="AC102" i="162"/>
  <c r="AD102" i="162"/>
  <c r="AE102" i="162"/>
  <c r="AF102" i="162"/>
  <c r="AG102" i="162"/>
  <c r="AL155" i="163" l="1"/>
  <c r="AC155" i="163"/>
  <c r="AA155" i="163"/>
  <c r="O155" i="163"/>
  <c r="D155" i="163"/>
  <c r="AL154" i="163"/>
  <c r="AC154" i="163"/>
  <c r="AA154" i="163"/>
  <c r="O154" i="163"/>
  <c r="D154" i="163"/>
  <c r="AL153" i="163"/>
  <c r="AC153" i="163"/>
  <c r="AA153" i="163"/>
  <c r="O153" i="163"/>
  <c r="D153" i="163"/>
  <c r="AL152" i="163"/>
  <c r="AC152" i="163"/>
  <c r="AA152" i="163"/>
  <c r="O152" i="163"/>
  <c r="D152" i="163"/>
  <c r="AL151" i="163"/>
  <c r="AC151" i="163"/>
  <c r="AA151" i="163"/>
  <c r="O151" i="163"/>
  <c r="D151" i="163"/>
  <c r="AL150" i="163"/>
  <c r="AC150" i="163"/>
  <c r="AA150" i="163"/>
  <c r="O150" i="163"/>
  <c r="D150" i="163"/>
  <c r="AL149" i="163"/>
  <c r="AC149" i="163"/>
  <c r="AA149" i="163"/>
  <c r="O149" i="163"/>
  <c r="D149" i="163"/>
  <c r="AL148" i="163"/>
  <c r="AC148" i="163"/>
  <c r="AA148" i="163"/>
  <c r="O148" i="163"/>
  <c r="D148" i="163"/>
  <c r="AL147" i="163"/>
  <c r="AC147" i="163"/>
  <c r="AA147" i="163"/>
  <c r="O147" i="163"/>
  <c r="D147" i="163"/>
  <c r="AL146" i="163"/>
  <c r="AC146" i="163"/>
  <c r="AA146" i="163"/>
  <c r="O146" i="163"/>
  <c r="D146" i="163"/>
  <c r="AL145" i="163"/>
  <c r="AC145" i="163"/>
  <c r="AA145" i="163"/>
  <c r="O145" i="163"/>
  <c r="D145" i="163"/>
  <c r="AL144" i="163"/>
  <c r="AC144" i="163"/>
  <c r="AA144" i="163"/>
  <c r="O144" i="163"/>
  <c r="D144" i="163"/>
  <c r="AL143" i="163"/>
  <c r="AC143" i="163"/>
  <c r="AA143" i="163"/>
  <c r="O143" i="163"/>
  <c r="D143" i="163"/>
  <c r="AL142" i="163"/>
  <c r="AC142" i="163"/>
  <c r="AA142" i="163"/>
  <c r="O142" i="163"/>
  <c r="D142" i="163"/>
  <c r="AL141" i="163"/>
  <c r="AC141" i="163"/>
  <c r="AA141" i="163"/>
  <c r="O141" i="163"/>
  <c r="D141" i="163"/>
  <c r="AL140" i="163"/>
  <c r="AC140" i="163"/>
  <c r="AA140" i="163"/>
  <c r="O140" i="163"/>
  <c r="D140" i="163"/>
  <c r="AL139" i="163"/>
  <c r="AC139" i="163"/>
  <c r="AA139" i="163"/>
  <c r="O139" i="163"/>
  <c r="D139" i="163"/>
  <c r="AL138" i="163"/>
  <c r="AC138" i="163"/>
  <c r="AA138" i="163"/>
  <c r="O138" i="163"/>
  <c r="D138" i="163"/>
  <c r="AL137" i="163"/>
  <c r="AC137" i="163"/>
  <c r="AA137" i="163"/>
  <c r="O137" i="163"/>
  <c r="D137" i="163"/>
  <c r="AL136" i="163"/>
  <c r="AC136" i="163"/>
  <c r="AA136" i="163"/>
  <c r="O136" i="163"/>
  <c r="D136" i="163"/>
  <c r="AL135" i="163"/>
  <c r="AC135" i="163"/>
  <c r="AA135" i="163"/>
  <c r="O135" i="163"/>
  <c r="D135" i="163"/>
  <c r="AL134" i="163"/>
  <c r="AC134" i="163"/>
  <c r="AA134" i="163"/>
  <c r="O134" i="163"/>
  <c r="D134" i="163"/>
  <c r="AL133" i="163"/>
  <c r="AC133" i="163"/>
  <c r="AA133" i="163"/>
  <c r="O133" i="163"/>
  <c r="D133" i="163"/>
  <c r="AL132" i="163"/>
  <c r="AC132" i="163"/>
  <c r="AA132" i="163"/>
  <c r="O132" i="163"/>
  <c r="D132" i="163"/>
  <c r="AL131" i="163"/>
  <c r="AC131" i="163"/>
  <c r="AA131" i="163"/>
  <c r="O131" i="163"/>
  <c r="D131" i="163"/>
  <c r="AL130" i="163"/>
  <c r="AC130" i="163"/>
  <c r="AA130" i="163"/>
  <c r="O130" i="163"/>
  <c r="D130" i="163"/>
  <c r="AL129" i="163"/>
  <c r="AC129" i="163"/>
  <c r="AA129" i="163"/>
  <c r="O129" i="163"/>
  <c r="D129" i="163"/>
  <c r="AL128" i="163"/>
  <c r="AC128" i="163"/>
  <c r="AA128" i="163"/>
  <c r="O128" i="163"/>
  <c r="D128" i="163"/>
  <c r="AL127" i="163"/>
  <c r="AC127" i="163"/>
  <c r="AA127" i="163"/>
  <c r="O127" i="163"/>
  <c r="D127" i="163"/>
  <c r="AL126" i="163"/>
  <c r="AC126" i="163"/>
  <c r="AA126" i="163"/>
  <c r="O126" i="163"/>
  <c r="D126" i="163"/>
  <c r="AL125" i="163"/>
  <c r="AC125" i="163"/>
  <c r="AA125" i="163"/>
  <c r="O125" i="163"/>
  <c r="D125" i="163"/>
  <c r="AL124" i="163"/>
  <c r="AC124" i="163"/>
  <c r="AA124" i="163"/>
  <c r="O124" i="163"/>
  <c r="D124" i="163"/>
  <c r="AL123" i="163"/>
  <c r="AC123" i="163"/>
  <c r="AA123" i="163"/>
  <c r="O123" i="163"/>
  <c r="D123" i="163"/>
  <c r="AL122" i="163"/>
  <c r="AC122" i="163"/>
  <c r="AA122" i="163"/>
  <c r="O122" i="163"/>
  <c r="D122" i="163"/>
  <c r="AL121" i="163"/>
  <c r="AC121" i="163"/>
  <c r="AA121" i="163"/>
  <c r="O121" i="163"/>
  <c r="D121" i="163"/>
  <c r="AL120" i="163"/>
  <c r="AC120" i="163"/>
  <c r="AA120" i="163"/>
  <c r="O120" i="163"/>
  <c r="D120" i="163"/>
  <c r="AL119" i="163"/>
  <c r="AC119" i="163"/>
  <c r="AA119" i="163"/>
  <c r="O119" i="163"/>
  <c r="D119" i="163"/>
  <c r="AL118" i="163"/>
  <c r="AC118" i="163"/>
  <c r="AA118" i="163"/>
  <c r="O118" i="163"/>
  <c r="D118" i="163"/>
  <c r="AL117" i="163"/>
  <c r="AC117" i="163"/>
  <c r="AA117" i="163"/>
  <c r="O117" i="163"/>
  <c r="D117" i="163"/>
  <c r="AL116" i="163"/>
  <c r="AC116" i="163"/>
  <c r="AA116" i="163"/>
  <c r="O116" i="163"/>
  <c r="D116" i="163"/>
  <c r="AL115" i="163"/>
  <c r="AC115" i="163"/>
  <c r="AA115" i="163"/>
  <c r="O115" i="163"/>
  <c r="D115" i="163"/>
  <c r="AL114" i="163"/>
  <c r="AC114" i="163"/>
  <c r="AA114" i="163"/>
  <c r="O114" i="163"/>
  <c r="D114" i="163"/>
  <c r="AL113" i="163"/>
  <c r="AC113" i="163"/>
  <c r="AA113" i="163"/>
  <c r="O113" i="163"/>
  <c r="D113" i="163"/>
  <c r="AL112" i="163"/>
  <c r="AC112" i="163"/>
  <c r="AA112" i="163"/>
  <c r="O112" i="163"/>
  <c r="D112" i="163"/>
  <c r="AL111" i="163"/>
  <c r="AC111" i="163"/>
  <c r="AA111" i="163"/>
  <c r="O111" i="163"/>
  <c r="D111" i="163"/>
  <c r="AL110" i="163"/>
  <c r="AC110" i="163"/>
  <c r="AA110" i="163"/>
  <c r="O110" i="163"/>
  <c r="D110" i="163"/>
  <c r="AL109" i="163"/>
  <c r="AC109" i="163"/>
  <c r="AA109" i="163"/>
  <c r="O109" i="163"/>
  <c r="D109" i="163"/>
  <c r="AL108" i="163"/>
  <c r="AC108" i="163"/>
  <c r="AA108" i="163"/>
  <c r="O108" i="163"/>
  <c r="D108" i="163"/>
  <c r="AL107" i="163"/>
  <c r="AC107" i="163"/>
  <c r="AA107" i="163"/>
  <c r="O107" i="163"/>
  <c r="D107" i="163"/>
  <c r="AL106" i="163"/>
  <c r="AC106" i="163"/>
  <c r="AA106" i="163"/>
  <c r="O106" i="163"/>
  <c r="D106" i="163"/>
  <c r="AL105" i="163"/>
  <c r="AC105" i="163"/>
  <c r="AA105" i="163"/>
  <c r="O105" i="163"/>
  <c r="D105" i="163"/>
  <c r="AL104" i="163"/>
  <c r="AC104" i="163"/>
  <c r="AA104" i="163"/>
  <c r="O104" i="163"/>
  <c r="D104" i="163"/>
  <c r="AL103" i="163"/>
  <c r="AC103" i="163"/>
  <c r="AA103" i="163"/>
  <c r="O103" i="163"/>
  <c r="D103" i="163"/>
  <c r="AL102" i="163"/>
  <c r="AC102" i="163"/>
  <c r="AA102" i="163"/>
  <c r="O102" i="163"/>
  <c r="D102" i="163"/>
  <c r="AL101" i="163"/>
  <c r="AC101" i="163"/>
  <c r="AA101" i="163"/>
  <c r="O101" i="163"/>
  <c r="D101" i="163"/>
  <c r="AL100" i="163"/>
  <c r="AC100" i="163"/>
  <c r="AA100" i="163"/>
  <c r="O100" i="163"/>
  <c r="D100" i="163"/>
  <c r="AL99" i="163"/>
  <c r="AC99" i="163"/>
  <c r="AA99" i="163"/>
  <c r="O99" i="163"/>
  <c r="D99" i="163"/>
  <c r="AL98" i="163"/>
  <c r="AC98" i="163"/>
  <c r="AA98" i="163"/>
  <c r="O98" i="163"/>
  <c r="D98" i="163"/>
  <c r="AL97" i="163"/>
  <c r="AC97" i="163"/>
  <c r="AA97" i="163"/>
  <c r="O97" i="163"/>
  <c r="D97" i="163"/>
  <c r="AL96" i="163"/>
  <c r="AC96" i="163"/>
  <c r="AA96" i="163"/>
  <c r="O96" i="163"/>
  <c r="D96" i="163"/>
  <c r="AL95" i="163"/>
  <c r="AC95" i="163"/>
  <c r="AA95" i="163"/>
  <c r="O95" i="163"/>
  <c r="D95" i="163"/>
  <c r="AL94" i="163"/>
  <c r="AC94" i="163"/>
  <c r="AA94" i="163"/>
  <c r="O94" i="163"/>
  <c r="D94" i="163"/>
  <c r="AL93" i="163"/>
  <c r="AC93" i="163"/>
  <c r="AA93" i="163"/>
  <c r="O93" i="163"/>
  <c r="D93" i="163"/>
  <c r="AL92" i="163"/>
  <c r="AC92" i="163"/>
  <c r="AA92" i="163"/>
  <c r="O92" i="163"/>
  <c r="D92" i="163"/>
  <c r="AL91" i="163"/>
  <c r="O91" i="163"/>
  <c r="D91" i="163"/>
  <c r="AL90" i="163"/>
  <c r="AC90" i="163"/>
  <c r="AA90" i="163"/>
  <c r="O90" i="163"/>
  <c r="D90" i="163"/>
  <c r="AL89" i="163"/>
  <c r="AC89" i="163"/>
  <c r="AA89" i="163"/>
  <c r="O89" i="163"/>
  <c r="D89" i="163"/>
  <c r="AL88" i="163"/>
  <c r="AC88" i="163"/>
  <c r="AA88" i="163"/>
  <c r="O88" i="163"/>
  <c r="D88" i="163"/>
  <c r="AL87" i="163"/>
  <c r="AC87" i="163"/>
  <c r="AA87" i="163"/>
  <c r="O87" i="163"/>
  <c r="D87" i="163"/>
  <c r="AL86" i="163"/>
  <c r="AC86" i="163"/>
  <c r="AA86" i="163"/>
  <c r="O86" i="163"/>
  <c r="D86" i="163"/>
  <c r="AL85" i="163"/>
  <c r="AC85" i="163"/>
  <c r="AA85" i="163"/>
  <c r="O85" i="163"/>
  <c r="D85" i="163"/>
  <c r="AL84" i="163"/>
  <c r="AC84" i="163"/>
  <c r="AA84" i="163"/>
  <c r="O84" i="163"/>
  <c r="D84" i="163"/>
  <c r="AL83" i="163"/>
  <c r="AC83" i="163"/>
  <c r="AA83" i="163"/>
  <c r="O83" i="163"/>
  <c r="D83" i="163"/>
  <c r="AL82" i="163"/>
  <c r="AC82" i="163"/>
  <c r="AA82" i="163"/>
  <c r="O82" i="163"/>
  <c r="D82" i="163"/>
  <c r="AL81" i="163"/>
  <c r="AC81" i="163"/>
  <c r="AA81" i="163"/>
  <c r="O81" i="163"/>
  <c r="D81" i="163"/>
  <c r="AL80" i="163"/>
  <c r="AC80" i="163"/>
  <c r="AA80" i="163"/>
  <c r="O80" i="163"/>
  <c r="D80" i="163"/>
  <c r="AL79" i="163"/>
  <c r="AC79" i="163"/>
  <c r="AA79" i="163"/>
  <c r="O79" i="163"/>
  <c r="D79" i="163"/>
  <c r="AL78" i="163"/>
  <c r="AC78" i="163"/>
  <c r="AA78" i="163"/>
  <c r="O78" i="163"/>
  <c r="D78" i="163"/>
  <c r="AL77" i="163"/>
  <c r="AC77" i="163"/>
  <c r="AA77" i="163"/>
  <c r="O77" i="163"/>
  <c r="D77" i="163"/>
  <c r="AL76" i="163"/>
  <c r="AC76" i="163"/>
  <c r="AA76" i="163"/>
  <c r="O76" i="163"/>
  <c r="D76" i="163"/>
  <c r="AL75" i="163"/>
  <c r="AC75" i="163"/>
  <c r="AA75" i="163"/>
  <c r="O75" i="163"/>
  <c r="D75" i="163"/>
  <c r="AL74" i="163"/>
  <c r="AC74" i="163"/>
  <c r="AA74" i="163"/>
  <c r="O74" i="163"/>
  <c r="D74" i="163"/>
  <c r="AL73" i="163"/>
  <c r="AC73" i="163"/>
  <c r="AA73" i="163"/>
  <c r="O73" i="163"/>
  <c r="D73" i="163"/>
  <c r="AL72" i="163"/>
  <c r="AC72" i="163"/>
  <c r="AA72" i="163"/>
  <c r="O72" i="163"/>
  <c r="D72" i="163"/>
  <c r="AL71" i="163"/>
  <c r="AC71" i="163"/>
  <c r="AA71" i="163"/>
  <c r="O71" i="163"/>
  <c r="D71" i="163"/>
  <c r="AL70" i="163"/>
  <c r="AC70" i="163"/>
  <c r="AA70" i="163"/>
  <c r="O70" i="163"/>
  <c r="D70" i="163"/>
  <c r="AL69" i="163"/>
  <c r="AC69" i="163"/>
  <c r="AA69" i="163"/>
  <c r="O69" i="163"/>
  <c r="D69" i="163"/>
  <c r="AL68" i="163"/>
  <c r="AC68" i="163"/>
  <c r="AA68" i="163"/>
  <c r="O68" i="163"/>
  <c r="D68" i="163"/>
  <c r="AL67" i="163"/>
  <c r="AC67" i="163"/>
  <c r="AA67" i="163"/>
  <c r="O67" i="163"/>
  <c r="D67" i="163"/>
  <c r="AL66" i="163"/>
  <c r="AC66" i="163"/>
  <c r="AA66" i="163"/>
  <c r="O66" i="163"/>
  <c r="D66" i="163"/>
  <c r="AL65" i="163"/>
  <c r="AC65" i="163"/>
  <c r="AA65" i="163"/>
  <c r="O65" i="163"/>
  <c r="D65" i="163"/>
  <c r="AL64" i="163"/>
  <c r="AC64" i="163"/>
  <c r="AA64" i="163"/>
  <c r="O64" i="163"/>
  <c r="D64" i="163"/>
  <c r="AL63" i="163"/>
  <c r="AC63" i="163"/>
  <c r="AA63" i="163"/>
  <c r="O63" i="163"/>
  <c r="D63" i="163"/>
  <c r="AL62" i="163"/>
  <c r="AC62" i="163"/>
  <c r="AA62" i="163"/>
  <c r="O62" i="163"/>
  <c r="D62" i="163"/>
  <c r="AL61" i="163"/>
  <c r="AC61" i="163"/>
  <c r="AA61" i="163"/>
  <c r="O61" i="163"/>
  <c r="D61" i="163"/>
  <c r="AL60" i="163"/>
  <c r="AC60" i="163"/>
  <c r="AA60" i="163"/>
  <c r="O60" i="163"/>
  <c r="D60" i="163"/>
  <c r="AL59" i="163"/>
  <c r="AC59" i="163"/>
  <c r="AA59" i="163"/>
  <c r="O59" i="163"/>
  <c r="D59" i="163"/>
  <c r="AL58" i="163"/>
  <c r="AC58" i="163"/>
  <c r="AA58" i="163"/>
  <c r="O58" i="163"/>
  <c r="D58" i="163"/>
  <c r="AL57" i="163"/>
  <c r="AC57" i="163"/>
  <c r="AA57" i="163"/>
  <c r="O57" i="163"/>
  <c r="D57" i="163"/>
  <c r="AL56" i="163"/>
  <c r="AC56" i="163"/>
  <c r="AA56" i="163"/>
  <c r="O56" i="163"/>
  <c r="D56" i="163"/>
  <c r="AL55" i="163"/>
  <c r="AC55" i="163"/>
  <c r="AA55" i="163"/>
  <c r="O55" i="163"/>
  <c r="D55" i="163"/>
  <c r="AL54" i="163"/>
  <c r="AC54" i="163"/>
  <c r="AA54" i="163"/>
  <c r="O54" i="163"/>
  <c r="D54" i="163"/>
  <c r="AL53" i="163"/>
  <c r="AC53" i="163"/>
  <c r="AA53" i="163"/>
  <c r="O53" i="163"/>
  <c r="D53" i="163"/>
  <c r="AL52" i="163"/>
  <c r="AC52" i="163"/>
  <c r="AA52" i="163"/>
  <c r="O52" i="163"/>
  <c r="D52" i="163"/>
  <c r="AL51" i="163"/>
  <c r="AC51" i="163"/>
  <c r="AA51" i="163"/>
  <c r="O51" i="163"/>
  <c r="D51" i="163"/>
  <c r="AL50" i="163"/>
  <c r="AC50" i="163"/>
  <c r="AA50" i="163"/>
  <c r="O50" i="163"/>
  <c r="D50" i="163"/>
  <c r="AL49" i="163"/>
  <c r="AC49" i="163"/>
  <c r="AA49" i="163"/>
  <c r="O49" i="163"/>
  <c r="D49" i="163"/>
  <c r="AL48" i="163"/>
  <c r="AC48" i="163"/>
  <c r="AA48" i="163"/>
  <c r="O48" i="163"/>
  <c r="D48" i="163"/>
  <c r="AL47" i="163"/>
  <c r="AC47" i="163"/>
  <c r="AA47" i="163"/>
  <c r="O47" i="163"/>
  <c r="D47" i="163"/>
  <c r="AL46" i="163"/>
  <c r="AC46" i="163"/>
  <c r="AA46" i="163"/>
  <c r="O46" i="163"/>
  <c r="D46" i="163"/>
  <c r="AL45" i="163"/>
  <c r="AC45" i="163"/>
  <c r="AA45" i="163"/>
  <c r="O45" i="163"/>
  <c r="D45" i="163"/>
  <c r="AL44" i="163"/>
  <c r="AC44" i="163"/>
  <c r="AA44" i="163"/>
  <c r="O44" i="163"/>
  <c r="D44" i="163"/>
  <c r="AL43" i="163"/>
  <c r="AC43" i="163"/>
  <c r="AA43" i="163"/>
  <c r="O43" i="163"/>
  <c r="D43" i="163"/>
  <c r="AL42" i="163"/>
  <c r="AC42" i="163"/>
  <c r="AA42" i="163"/>
  <c r="O42" i="163"/>
  <c r="D42" i="163"/>
  <c r="AL41" i="163"/>
  <c r="AC41" i="163"/>
  <c r="AA41" i="163"/>
  <c r="O41" i="163"/>
  <c r="D41" i="163"/>
  <c r="AL40" i="163"/>
  <c r="AC40" i="163"/>
  <c r="AA40" i="163"/>
  <c r="O40" i="163"/>
  <c r="D40" i="163"/>
  <c r="AL39" i="163"/>
  <c r="AC39" i="163"/>
  <c r="AA39" i="163"/>
  <c r="O39" i="163"/>
  <c r="D39" i="163"/>
  <c r="AL38" i="163"/>
  <c r="AC38" i="163"/>
  <c r="AA38" i="163"/>
  <c r="O38" i="163"/>
  <c r="D38" i="163"/>
  <c r="AL37" i="163"/>
  <c r="AC37" i="163"/>
  <c r="AA37" i="163"/>
  <c r="O37" i="163"/>
  <c r="D37" i="163"/>
  <c r="AL36" i="163"/>
  <c r="AC36" i="163"/>
  <c r="AA36" i="163"/>
  <c r="O36" i="163"/>
  <c r="D36" i="163"/>
  <c r="AL35" i="163"/>
  <c r="AC35" i="163"/>
  <c r="AA35" i="163"/>
  <c r="O35" i="163"/>
  <c r="D35" i="163"/>
  <c r="AL34" i="163"/>
  <c r="AC34" i="163"/>
  <c r="AA34" i="163"/>
  <c r="O34" i="163"/>
  <c r="D34" i="163"/>
  <c r="AL33" i="163"/>
  <c r="AC33" i="163"/>
  <c r="AA33" i="163"/>
  <c r="O33" i="163"/>
  <c r="D33" i="163"/>
  <c r="AL32" i="163"/>
  <c r="AC32" i="163"/>
  <c r="AA32" i="163"/>
  <c r="O32" i="163"/>
  <c r="D32" i="163"/>
  <c r="AL31" i="163"/>
  <c r="AC31" i="163"/>
  <c r="AA31" i="163"/>
  <c r="O31" i="163"/>
  <c r="D31" i="163"/>
  <c r="AL30" i="163"/>
  <c r="AC30" i="163"/>
  <c r="AA30" i="163"/>
  <c r="O30" i="163"/>
  <c r="D30" i="163"/>
  <c r="AL29" i="163"/>
  <c r="AC29" i="163"/>
  <c r="AA29" i="163"/>
  <c r="O29" i="163"/>
  <c r="D29" i="163"/>
  <c r="AL28" i="163"/>
  <c r="AC28" i="163"/>
  <c r="AA28" i="163"/>
  <c r="O28" i="163"/>
  <c r="D28" i="163"/>
  <c r="AL27" i="163"/>
  <c r="AC27" i="163"/>
  <c r="AA27" i="163"/>
  <c r="O27" i="163"/>
  <c r="D27" i="163"/>
  <c r="AL26" i="163"/>
  <c r="AC26" i="163"/>
  <c r="AA26" i="163"/>
  <c r="O26" i="163"/>
  <c r="D26" i="163"/>
  <c r="AL25" i="163"/>
  <c r="AC25" i="163"/>
  <c r="AA25" i="163"/>
  <c r="O25" i="163"/>
  <c r="D25" i="163"/>
  <c r="AL24" i="163"/>
  <c r="AC24" i="163"/>
  <c r="AA24" i="163"/>
  <c r="O24" i="163"/>
  <c r="D24" i="163"/>
  <c r="AL23" i="163"/>
  <c r="AC23" i="163"/>
  <c r="AA23" i="163"/>
  <c r="O23" i="163"/>
  <c r="D23" i="163"/>
  <c r="AL22" i="163"/>
  <c r="AC22" i="163"/>
  <c r="AA22" i="163"/>
  <c r="O22" i="163"/>
  <c r="D22" i="163"/>
  <c r="AL21" i="163"/>
  <c r="AC21" i="163"/>
  <c r="AA21" i="163"/>
  <c r="O21" i="163"/>
  <c r="D21" i="163"/>
  <c r="AL20" i="163"/>
  <c r="AC20" i="163"/>
  <c r="AA20" i="163"/>
  <c r="O20" i="163"/>
  <c r="D20" i="163"/>
  <c r="AL19" i="163"/>
  <c r="AC19" i="163"/>
  <c r="AA19" i="163"/>
  <c r="O19" i="163"/>
  <c r="D19" i="163"/>
  <c r="AL18" i="163"/>
  <c r="AC18" i="163"/>
  <c r="AA18" i="163"/>
  <c r="O18" i="163"/>
  <c r="D18" i="163"/>
  <c r="AL17" i="163"/>
  <c r="AC17" i="163"/>
  <c r="AA17" i="163"/>
  <c r="O17" i="163"/>
  <c r="D17" i="163"/>
  <c r="AL16" i="163"/>
  <c r="AC16" i="163"/>
  <c r="AA16" i="163"/>
  <c r="O16" i="163"/>
  <c r="D16" i="163"/>
  <c r="AL15" i="163"/>
  <c r="AC15" i="163"/>
  <c r="AA15" i="163"/>
  <c r="O15" i="163"/>
  <c r="D15" i="163"/>
  <c r="AL14" i="163"/>
  <c r="AC14" i="163"/>
  <c r="AA14" i="163"/>
  <c r="O14" i="163"/>
  <c r="D14" i="163"/>
  <c r="AL13" i="163"/>
  <c r="AC13" i="163"/>
  <c r="AA13" i="163"/>
  <c r="O13" i="163"/>
  <c r="D13" i="163"/>
  <c r="AL12" i="163"/>
  <c r="AC12" i="163"/>
  <c r="AA12" i="163"/>
  <c r="O12" i="163"/>
  <c r="D12" i="163"/>
  <c r="AL11" i="163"/>
  <c r="AC11" i="163"/>
  <c r="AA11" i="163"/>
  <c r="O11" i="163"/>
  <c r="D11" i="163"/>
  <c r="AL10" i="163"/>
  <c r="AC10" i="163"/>
  <c r="AA10" i="163"/>
  <c r="O10" i="163"/>
  <c r="D10" i="163"/>
  <c r="AL9" i="163"/>
  <c r="AC9" i="163"/>
  <c r="AA9" i="163"/>
  <c r="O9" i="163"/>
  <c r="D9" i="163"/>
  <c r="AL8" i="163"/>
  <c r="AC8" i="163"/>
  <c r="AA8" i="163"/>
  <c r="O8" i="163"/>
  <c r="D8" i="163"/>
  <c r="AL7" i="163"/>
  <c r="AC7" i="163"/>
  <c r="AA7" i="163"/>
  <c r="O7" i="163"/>
  <c r="D7" i="163"/>
  <c r="AL6" i="163"/>
  <c r="AC6" i="163"/>
  <c r="AA6" i="163"/>
  <c r="O6" i="163"/>
  <c r="D6" i="163"/>
  <c r="AL5" i="163"/>
  <c r="AC5" i="163"/>
  <c r="AA5" i="163"/>
  <c r="O5" i="163"/>
  <c r="D5" i="163"/>
  <c r="AL4" i="163"/>
  <c r="AC4" i="163"/>
  <c r="AA4" i="163"/>
  <c r="D4" i="163"/>
  <c r="AL3" i="163"/>
  <c r="AC3" i="163"/>
  <c r="AA3" i="163"/>
  <c r="D3" i="163"/>
  <c r="AL2" i="163"/>
  <c r="AK2" i="163"/>
  <c r="AJ90" i="163" s="1"/>
  <c r="AC2" i="163"/>
  <c r="AA2" i="163"/>
  <c r="D2" i="163"/>
  <c r="R133" i="162"/>
  <c r="S133" i="162"/>
  <c r="T133" i="162"/>
  <c r="U133" i="162"/>
  <c r="V133" i="162"/>
  <c r="W133" i="162"/>
  <c r="X133" i="162"/>
  <c r="Y133" i="162"/>
  <c r="Z133" i="162"/>
  <c r="AA133" i="162"/>
  <c r="AC133" i="162"/>
  <c r="AD133" i="162"/>
  <c r="AE133" i="162"/>
  <c r="AF133" i="162"/>
  <c r="AG133" i="162"/>
  <c r="R126" i="162"/>
  <c r="S126" i="162"/>
  <c r="T126" i="162"/>
  <c r="U126" i="162"/>
  <c r="V126" i="162"/>
  <c r="W126" i="162"/>
  <c r="X126" i="162"/>
  <c r="AA126" i="162"/>
  <c r="AC126" i="162"/>
  <c r="AD126" i="162"/>
  <c r="AE126" i="162"/>
  <c r="AF126" i="162"/>
  <c r="AG126" i="162"/>
  <c r="AG35" i="162"/>
  <c r="AF35" i="162"/>
  <c r="AE35" i="162"/>
  <c r="AD35" i="162"/>
  <c r="AC35" i="162"/>
  <c r="AB35" i="162"/>
  <c r="AA35" i="162"/>
  <c r="Z35" i="162"/>
  <c r="Y35" i="162"/>
  <c r="X35" i="162"/>
  <c r="W35" i="162"/>
  <c r="V35" i="162"/>
  <c r="U35" i="162"/>
  <c r="T35" i="162"/>
  <c r="S35" i="162"/>
  <c r="R35" i="162"/>
  <c r="Y33" i="162"/>
  <c r="Y34" i="162"/>
  <c r="AG20" i="162"/>
  <c r="AF20" i="162"/>
  <c r="AE20" i="162"/>
  <c r="AD20" i="162"/>
  <c r="AC20" i="162"/>
  <c r="AA20" i="162"/>
  <c r="X20" i="162"/>
  <c r="V20" i="162"/>
  <c r="U20" i="162"/>
  <c r="T20" i="162"/>
  <c r="S20" i="162"/>
  <c r="AB133" i="162"/>
  <c r="AB20" i="162"/>
  <c r="AB126" i="162"/>
  <c r="R20" i="162"/>
  <c r="W20" i="162"/>
  <c r="AJ2" i="163" l="1"/>
  <c r="AJ3" i="163"/>
  <c r="AJ13" i="163"/>
  <c r="AJ14" i="163"/>
  <c r="AJ15" i="163"/>
  <c r="AJ4" i="163"/>
  <c r="AJ5" i="163"/>
  <c r="AJ6" i="163"/>
  <c r="AJ7" i="163"/>
  <c r="AJ8" i="163"/>
  <c r="AJ9" i="163"/>
  <c r="AJ10" i="163"/>
  <c r="AJ11" i="163"/>
  <c r="AJ92" i="163"/>
  <c r="AJ93" i="163"/>
  <c r="AJ94" i="163"/>
  <c r="AJ95" i="163"/>
  <c r="AJ96" i="163"/>
  <c r="AJ97" i="163"/>
  <c r="AJ98" i="163"/>
  <c r="AJ99" i="163"/>
  <c r="AJ100" i="163"/>
  <c r="AJ101" i="163"/>
  <c r="AJ102" i="163"/>
  <c r="AJ103" i="163"/>
  <c r="AJ104" i="163"/>
  <c r="AJ105" i="163"/>
  <c r="AJ106" i="163"/>
  <c r="AJ107" i="163"/>
  <c r="AJ108" i="163"/>
  <c r="AJ109" i="163"/>
  <c r="AJ110" i="163"/>
  <c r="AJ111" i="163"/>
  <c r="AJ112" i="163"/>
  <c r="AJ113" i="163"/>
  <c r="AJ114" i="163"/>
  <c r="AJ115" i="163"/>
  <c r="AJ116" i="163"/>
  <c r="AJ117" i="163"/>
  <c r="AJ118" i="163"/>
  <c r="AJ119" i="163"/>
  <c r="AJ120" i="163"/>
  <c r="AJ121" i="163"/>
  <c r="AJ122" i="163"/>
  <c r="AJ123" i="163"/>
  <c r="AJ124" i="163"/>
  <c r="AJ125" i="163"/>
  <c r="AJ126" i="163"/>
  <c r="AJ127" i="163"/>
  <c r="AJ128" i="163"/>
  <c r="AJ129" i="163"/>
  <c r="AJ130" i="163"/>
  <c r="AJ131" i="163"/>
  <c r="AJ132" i="163"/>
  <c r="AJ133" i="163"/>
  <c r="AJ134" i="163"/>
  <c r="AJ135" i="163"/>
  <c r="AJ136" i="163"/>
  <c r="AJ137" i="163"/>
  <c r="AJ138" i="163"/>
  <c r="AJ139" i="163"/>
  <c r="AJ140" i="163"/>
  <c r="AJ141" i="163"/>
  <c r="AJ142" i="163"/>
  <c r="AJ143" i="163"/>
  <c r="AJ144" i="163"/>
  <c r="AJ145" i="163"/>
  <c r="AJ146" i="163"/>
  <c r="AJ147" i="163"/>
  <c r="AJ148" i="163"/>
  <c r="AJ149" i="163"/>
  <c r="AJ150" i="163"/>
  <c r="AJ151" i="163"/>
  <c r="AJ152" i="163"/>
  <c r="AJ153" i="163"/>
  <c r="AJ154" i="163"/>
  <c r="AJ155" i="163"/>
  <c r="AJ16" i="163"/>
  <c r="AJ17" i="163"/>
  <c r="AJ18" i="163"/>
  <c r="AJ19" i="163"/>
  <c r="AJ20" i="163"/>
  <c r="AJ21" i="163"/>
  <c r="AJ22" i="163"/>
  <c r="AJ23" i="163"/>
  <c r="AJ24" i="163"/>
  <c r="AJ25" i="163"/>
  <c r="AJ26" i="163"/>
  <c r="AJ27" i="163"/>
  <c r="AJ28" i="163"/>
  <c r="AJ29" i="163"/>
  <c r="AJ30" i="163"/>
  <c r="AJ31" i="163"/>
  <c r="AJ32" i="163"/>
  <c r="AJ33" i="163"/>
  <c r="AJ34" i="163"/>
  <c r="AJ35" i="163"/>
  <c r="AJ36" i="163"/>
  <c r="AJ37" i="163"/>
  <c r="AJ38" i="163"/>
  <c r="AJ39" i="163"/>
  <c r="AJ40" i="163"/>
  <c r="AJ41" i="163"/>
  <c r="AJ42" i="163"/>
  <c r="AJ43" i="163"/>
  <c r="AJ44" i="163"/>
  <c r="AJ45" i="163"/>
  <c r="AJ46" i="163"/>
  <c r="AJ47" i="163"/>
  <c r="AJ48" i="163"/>
  <c r="AJ49" i="163"/>
  <c r="AJ50" i="163"/>
  <c r="AJ51" i="163"/>
  <c r="AJ52" i="163"/>
  <c r="AJ53" i="163"/>
  <c r="AJ54" i="163"/>
  <c r="AJ55" i="163"/>
  <c r="AJ56" i="163"/>
  <c r="AJ57" i="163"/>
  <c r="AJ58" i="163"/>
  <c r="AJ59" i="163"/>
  <c r="AJ60" i="163"/>
  <c r="AJ61" i="163"/>
  <c r="AJ62" i="163"/>
  <c r="AJ63" i="163"/>
  <c r="AJ64" i="163"/>
  <c r="AJ65" i="163"/>
  <c r="AJ66" i="163"/>
  <c r="AJ67" i="163"/>
  <c r="AJ68" i="163"/>
  <c r="AJ69" i="163"/>
  <c r="AJ70" i="163"/>
  <c r="AJ71" i="163"/>
  <c r="AJ72" i="163"/>
  <c r="AJ73" i="163"/>
  <c r="AJ74" i="163"/>
  <c r="AJ75" i="163"/>
  <c r="AJ76" i="163"/>
  <c r="AJ77" i="163"/>
  <c r="AJ78" i="163"/>
  <c r="AJ79" i="163"/>
  <c r="AJ80" i="163"/>
  <c r="AJ81" i="163"/>
  <c r="AJ82" i="163"/>
  <c r="AJ83" i="163"/>
  <c r="AJ84" i="163"/>
  <c r="AJ85" i="163"/>
  <c r="AJ86" i="163"/>
  <c r="AJ87" i="163"/>
  <c r="AJ88" i="163"/>
  <c r="AJ89" i="163"/>
  <c r="P89" i="159"/>
  <c r="P48" i="159"/>
  <c r="K11" i="142" l="1"/>
  <c r="J11" i="142"/>
  <c r="J3" i="142"/>
  <c r="Y43" i="162" l="1"/>
  <c r="Y81" i="162"/>
  <c r="Y96" i="162"/>
  <c r="Y97" i="162"/>
  <c r="Y98" i="162"/>
  <c r="Y99" i="162"/>
  <c r="Y100" i="162"/>
  <c r="Y101" i="162"/>
  <c r="M241" i="162"/>
  <c r="L241" i="162"/>
  <c r="L18" i="162" s="1"/>
  <c r="M222" i="162"/>
  <c r="M221" i="162"/>
  <c r="M220" i="162"/>
  <c r="M219" i="162"/>
  <c r="M218" i="162"/>
  <c r="M217" i="162"/>
  <c r="M216" i="162"/>
  <c r="M215" i="162"/>
  <c r="M214" i="162"/>
  <c r="M213" i="162"/>
  <c r="M212" i="162"/>
  <c r="M211" i="162"/>
  <c r="M210" i="162"/>
  <c r="M209" i="162"/>
  <c r="M208" i="162"/>
  <c r="M207" i="162"/>
  <c r="M206" i="162"/>
  <c r="M205" i="162"/>
  <c r="M204" i="162"/>
  <c r="M203" i="162"/>
  <c r="M202" i="162"/>
  <c r="M201" i="162"/>
  <c r="M200" i="162"/>
  <c r="M199" i="162"/>
  <c r="M198" i="162"/>
  <c r="M197" i="162"/>
  <c r="M196" i="162"/>
  <c r="M195" i="162"/>
  <c r="M194" i="162"/>
  <c r="M193" i="162"/>
  <c r="M192" i="162"/>
  <c r="M191" i="162"/>
  <c r="M190" i="162"/>
  <c r="M189" i="162"/>
  <c r="M188" i="162"/>
  <c r="M187" i="162"/>
  <c r="M186" i="162"/>
  <c r="M184" i="162"/>
  <c r="M183" i="162"/>
  <c r="M182" i="162"/>
  <c r="M181" i="162"/>
  <c r="M180" i="162"/>
  <c r="M179" i="162"/>
  <c r="M178" i="162"/>
  <c r="M177" i="162"/>
  <c r="M176" i="162"/>
  <c r="M175" i="162"/>
  <c r="M174" i="162"/>
  <c r="M173" i="162"/>
  <c r="M172" i="162"/>
  <c r="M171" i="162"/>
  <c r="M170" i="162"/>
  <c r="M168" i="162"/>
  <c r="M167" i="162"/>
  <c r="M166" i="162"/>
  <c r="M165" i="162"/>
  <c r="M164" i="162"/>
  <c r="M163" i="162"/>
  <c r="M162" i="162"/>
  <c r="M161" i="162"/>
  <c r="M160" i="162"/>
  <c r="M159" i="162"/>
  <c r="M158" i="162"/>
  <c r="M157" i="162"/>
  <c r="M156" i="162"/>
  <c r="M155" i="162"/>
  <c r="M154" i="162"/>
  <c r="M153" i="162"/>
  <c r="M151" i="162"/>
  <c r="M150" i="162"/>
  <c r="M149" i="162"/>
  <c r="M148" i="162"/>
  <c r="M147" i="162"/>
  <c r="M146" i="162"/>
  <c r="M145" i="162"/>
  <c r="A134" i="162"/>
  <c r="A127" i="162"/>
  <c r="A103" i="162"/>
  <c r="Z99" i="162"/>
  <c r="Z98" i="162"/>
  <c r="Z97" i="162"/>
  <c r="Z96" i="162"/>
  <c r="A36" i="162"/>
  <c r="A21" i="162"/>
  <c r="U11" i="162"/>
  <c r="T11" i="162"/>
  <c r="S11" i="162"/>
  <c r="U10" i="162"/>
  <c r="T10" i="162"/>
  <c r="S10" i="162"/>
  <c r="A104" i="162" l="1"/>
  <c r="R103" i="162"/>
  <c r="T103" i="162"/>
  <c r="V103" i="162"/>
  <c r="X103" i="162"/>
  <c r="Z103" i="162"/>
  <c r="AB103" i="162"/>
  <c r="AD103" i="162"/>
  <c r="AF103" i="162"/>
  <c r="W103" i="162"/>
  <c r="AA103" i="162"/>
  <c r="AC103" i="162"/>
  <c r="S103" i="162"/>
  <c r="U103" i="162"/>
  <c r="Y103" i="162"/>
  <c r="AE103" i="162"/>
  <c r="AG103" i="162"/>
  <c r="A135" i="162"/>
  <c r="S134" i="162"/>
  <c r="U134" i="162"/>
  <c r="W134" i="162"/>
  <c r="AA134" i="162"/>
  <c r="AD134" i="162"/>
  <c r="AF134" i="162"/>
  <c r="R134" i="162"/>
  <c r="V134" i="162"/>
  <c r="AC134" i="162"/>
  <c r="AG134" i="162"/>
  <c r="AB134" i="162"/>
  <c r="T134" i="162"/>
  <c r="X134" i="162"/>
  <c r="AE134" i="162"/>
  <c r="A128" i="162"/>
  <c r="S127" i="162"/>
  <c r="U127" i="162"/>
  <c r="W127" i="162"/>
  <c r="AA127" i="162"/>
  <c r="AD127" i="162"/>
  <c r="AF127" i="162"/>
  <c r="R127" i="162"/>
  <c r="V127" i="162"/>
  <c r="AC127" i="162"/>
  <c r="AG127" i="162"/>
  <c r="AB127" i="162"/>
  <c r="T127" i="162"/>
  <c r="X127" i="162"/>
  <c r="AE127" i="162"/>
  <c r="A22" i="162"/>
  <c r="R21" i="162"/>
  <c r="T21" i="162"/>
  <c r="V21" i="162"/>
  <c r="X21" i="162"/>
  <c r="Z21" i="162"/>
  <c r="AB21" i="162"/>
  <c r="AD21" i="162"/>
  <c r="AF21" i="162"/>
  <c r="S21" i="162"/>
  <c r="U21" i="162"/>
  <c r="W21" i="162"/>
  <c r="Y21" i="162"/>
  <c r="AA21" i="162"/>
  <c r="AC21" i="162"/>
  <c r="AE21" i="162"/>
  <c r="AG21" i="162"/>
  <c r="A105" i="162"/>
  <c r="R104" i="162"/>
  <c r="T104" i="162"/>
  <c r="V104" i="162"/>
  <c r="X104" i="162"/>
  <c r="AB104" i="162"/>
  <c r="AD104" i="162"/>
  <c r="AF104" i="162"/>
  <c r="S104" i="162"/>
  <c r="U104" i="162"/>
  <c r="W104" i="162"/>
  <c r="AA104" i="162"/>
  <c r="AC104" i="162"/>
  <c r="AE104" i="162"/>
  <c r="AG104" i="162"/>
  <c r="A37" i="162"/>
  <c r="AG36" i="162"/>
  <c r="AE36" i="162"/>
  <c r="AC36" i="162"/>
  <c r="AA36" i="162"/>
  <c r="Y36" i="162"/>
  <c r="W36" i="162"/>
  <c r="U36" i="162"/>
  <c r="S36" i="162"/>
  <c r="AF36" i="162"/>
  <c r="AD36" i="162"/>
  <c r="AB36" i="162"/>
  <c r="Z36" i="162"/>
  <c r="X36" i="162"/>
  <c r="V36" i="162"/>
  <c r="T36" i="162"/>
  <c r="R36" i="162"/>
  <c r="M18" i="162"/>
  <c r="U12" i="162"/>
  <c r="S12" i="162"/>
  <c r="T12" i="162"/>
  <c r="U14" i="162"/>
  <c r="U13" i="162"/>
  <c r="A129" i="162" l="1"/>
  <c r="R128" i="162"/>
  <c r="T128" i="162"/>
  <c r="V128" i="162"/>
  <c r="X128" i="162"/>
  <c r="AC128" i="162"/>
  <c r="AE128" i="162"/>
  <c r="AG128" i="162"/>
  <c r="U128" i="162"/>
  <c r="AA128" i="162"/>
  <c r="AF128" i="162"/>
  <c r="AB128" i="162"/>
  <c r="S128" i="162"/>
  <c r="W128" i="162"/>
  <c r="AD128" i="162"/>
  <c r="A136" i="162"/>
  <c r="R135" i="162"/>
  <c r="T135" i="162"/>
  <c r="V135" i="162"/>
  <c r="X135" i="162"/>
  <c r="AC135" i="162"/>
  <c r="AE135" i="162"/>
  <c r="AG135" i="162"/>
  <c r="U135" i="162"/>
  <c r="AA135" i="162"/>
  <c r="AF135" i="162"/>
  <c r="S135" i="162"/>
  <c r="W135" i="162"/>
  <c r="AD135" i="162"/>
  <c r="AB135" i="162"/>
  <c r="A106" i="162"/>
  <c r="R105" i="162"/>
  <c r="T105" i="162"/>
  <c r="V105" i="162"/>
  <c r="X105" i="162"/>
  <c r="AB105" i="162"/>
  <c r="AD105" i="162"/>
  <c r="AF105" i="162"/>
  <c r="S105" i="162"/>
  <c r="U105" i="162"/>
  <c r="W105" i="162"/>
  <c r="AA105" i="162"/>
  <c r="AC105" i="162"/>
  <c r="AE105" i="162"/>
  <c r="AG105" i="162"/>
  <c r="A23" i="162"/>
  <c r="R22" i="162"/>
  <c r="T22" i="162"/>
  <c r="V22" i="162"/>
  <c r="X22" i="162"/>
  <c r="Z22" i="162"/>
  <c r="AB22" i="162"/>
  <c r="AD22" i="162"/>
  <c r="AF22" i="162"/>
  <c r="S22" i="162"/>
  <c r="U22" i="162"/>
  <c r="W22" i="162"/>
  <c r="Y22" i="162"/>
  <c r="AA22" i="162"/>
  <c r="AC22" i="162"/>
  <c r="AE22" i="162"/>
  <c r="AG22" i="162"/>
  <c r="A38" i="162"/>
  <c r="AG37" i="162"/>
  <c r="AE37" i="162"/>
  <c r="AC37" i="162"/>
  <c r="AA37" i="162"/>
  <c r="Y37" i="162"/>
  <c r="W37" i="162"/>
  <c r="U37" i="162"/>
  <c r="S37" i="162"/>
  <c r="AF37" i="162"/>
  <c r="AD37" i="162"/>
  <c r="AB37" i="162"/>
  <c r="Z37" i="162"/>
  <c r="X37" i="162"/>
  <c r="V37" i="162"/>
  <c r="T37" i="162"/>
  <c r="R37" i="162"/>
  <c r="U15" i="162"/>
  <c r="AG59" i="159"/>
  <c r="AD104" i="159"/>
  <c r="A137" i="162" l="1"/>
  <c r="S136" i="162"/>
  <c r="U136" i="162"/>
  <c r="W136" i="162"/>
  <c r="AA136" i="162"/>
  <c r="AD136" i="162"/>
  <c r="AF136" i="162"/>
  <c r="R136" i="162"/>
  <c r="V136" i="162"/>
  <c r="AC136" i="162"/>
  <c r="AG136" i="162"/>
  <c r="T136" i="162"/>
  <c r="X136" i="162"/>
  <c r="AE136" i="162"/>
  <c r="AB136" i="162"/>
  <c r="A107" i="162"/>
  <c r="S106" i="162"/>
  <c r="U106" i="162"/>
  <c r="W106" i="162"/>
  <c r="Y106" i="162"/>
  <c r="AA106" i="162"/>
  <c r="AC106" i="162"/>
  <c r="AE106" i="162"/>
  <c r="AG106" i="162"/>
  <c r="T106" i="162"/>
  <c r="X106" i="162"/>
  <c r="AB106" i="162"/>
  <c r="AF106" i="162"/>
  <c r="R106" i="162"/>
  <c r="V106" i="162"/>
  <c r="Z106" i="162"/>
  <c r="AD106" i="162"/>
  <c r="A130" i="162"/>
  <c r="S129" i="162"/>
  <c r="U129" i="162"/>
  <c r="W129" i="162"/>
  <c r="AA129" i="162"/>
  <c r="AD129" i="162"/>
  <c r="AF129" i="162"/>
  <c r="T129" i="162"/>
  <c r="X129" i="162"/>
  <c r="AE129" i="162"/>
  <c r="R129" i="162"/>
  <c r="V129" i="162"/>
  <c r="AC129" i="162"/>
  <c r="AG129" i="162"/>
  <c r="AB129" i="162"/>
  <c r="A24" i="162"/>
  <c r="R23" i="162"/>
  <c r="T23" i="162"/>
  <c r="V23" i="162"/>
  <c r="X23" i="162"/>
  <c r="Z23" i="162"/>
  <c r="AB23" i="162"/>
  <c r="AD23" i="162"/>
  <c r="AF23" i="162"/>
  <c r="S23" i="162"/>
  <c r="U23" i="162"/>
  <c r="W23" i="162"/>
  <c r="Y23" i="162"/>
  <c r="AA23" i="162"/>
  <c r="AC23" i="162"/>
  <c r="AG23" i="162"/>
  <c r="AE23" i="162"/>
  <c r="A39" i="162"/>
  <c r="AG38" i="162"/>
  <c r="AE38" i="162"/>
  <c r="AC38" i="162"/>
  <c r="AA38" i="162"/>
  <c r="Y38" i="162"/>
  <c r="W38" i="162"/>
  <c r="U38" i="162"/>
  <c r="S38" i="162"/>
  <c r="AF38" i="162"/>
  <c r="AD38" i="162"/>
  <c r="AB38" i="162"/>
  <c r="Z38" i="162"/>
  <c r="X38" i="162"/>
  <c r="V38" i="162"/>
  <c r="T38" i="162"/>
  <c r="R38" i="162"/>
  <c r="AU60" i="159"/>
  <c r="A131" i="162" l="1"/>
  <c r="R130" i="162"/>
  <c r="T130" i="162"/>
  <c r="V130" i="162"/>
  <c r="X130" i="162"/>
  <c r="AC130" i="162"/>
  <c r="AE130" i="162"/>
  <c r="AG130" i="162"/>
  <c r="S130" i="162"/>
  <c r="W130" i="162"/>
  <c r="AD130" i="162"/>
  <c r="U130" i="162"/>
  <c r="AA130" i="162"/>
  <c r="AF130" i="162"/>
  <c r="AB130" i="162"/>
  <c r="A108" i="162"/>
  <c r="S107" i="162"/>
  <c r="U107" i="162"/>
  <c r="W107" i="162"/>
  <c r="AA107" i="162"/>
  <c r="AD107" i="162"/>
  <c r="AF107" i="162"/>
  <c r="T107" i="162"/>
  <c r="X107" i="162"/>
  <c r="AE107" i="162"/>
  <c r="R107" i="162"/>
  <c r="V107" i="162"/>
  <c r="AC107" i="162"/>
  <c r="AG107" i="162"/>
  <c r="AB107" i="162"/>
  <c r="A138" i="162"/>
  <c r="R137" i="162"/>
  <c r="T137" i="162"/>
  <c r="V137" i="162"/>
  <c r="X137" i="162"/>
  <c r="AC137" i="162"/>
  <c r="AE137" i="162"/>
  <c r="AG137" i="162"/>
  <c r="U137" i="162"/>
  <c r="AA137" i="162"/>
  <c r="AF137" i="162"/>
  <c r="S137" i="162"/>
  <c r="W137" i="162"/>
  <c r="AD137" i="162"/>
  <c r="AB137" i="162"/>
  <c r="A25" i="162"/>
  <c r="R24" i="162"/>
  <c r="T24" i="162"/>
  <c r="V24" i="162"/>
  <c r="X24" i="162"/>
  <c r="Z24" i="162"/>
  <c r="AB24" i="162"/>
  <c r="AD24" i="162"/>
  <c r="AF24" i="162"/>
  <c r="U24" i="162"/>
  <c r="Y24" i="162"/>
  <c r="AC24" i="162"/>
  <c r="AG24" i="162"/>
  <c r="S24" i="162"/>
  <c r="W24" i="162"/>
  <c r="AA24" i="162"/>
  <c r="AE24" i="162"/>
  <c r="A40" i="162"/>
  <c r="AG39" i="162"/>
  <c r="AE39" i="162"/>
  <c r="AC39" i="162"/>
  <c r="AA39" i="162"/>
  <c r="Y39" i="162"/>
  <c r="W39" i="162"/>
  <c r="U39" i="162"/>
  <c r="S39" i="162"/>
  <c r="AF39" i="162"/>
  <c r="AD39" i="162"/>
  <c r="AB39" i="162"/>
  <c r="Z39" i="162"/>
  <c r="X39" i="162"/>
  <c r="V39" i="162"/>
  <c r="T39" i="162"/>
  <c r="R39" i="162"/>
  <c r="AL104" i="159"/>
  <c r="AL106" i="159"/>
  <c r="AG103" i="159"/>
  <c r="AG104" i="159"/>
  <c r="AG105" i="159"/>
  <c r="AG106" i="159"/>
  <c r="AG107" i="159"/>
  <c r="AG108" i="159"/>
  <c r="AL108" i="159"/>
  <c r="AB109" i="159"/>
  <c r="AE109" i="159"/>
  <c r="AA109" i="159"/>
  <c r="A139" i="162" l="1"/>
  <c r="S138" i="162"/>
  <c r="U138" i="162"/>
  <c r="W138" i="162"/>
  <c r="AA138" i="162"/>
  <c r="AD138" i="162"/>
  <c r="AF138" i="162"/>
  <c r="T138" i="162"/>
  <c r="X138" i="162"/>
  <c r="AE138" i="162"/>
  <c r="R138" i="162"/>
  <c r="V138" i="162"/>
  <c r="AC138" i="162"/>
  <c r="AG138" i="162"/>
  <c r="AB138" i="162"/>
  <c r="A109" i="162"/>
  <c r="R108" i="162"/>
  <c r="T108" i="162"/>
  <c r="V108" i="162"/>
  <c r="X108" i="162"/>
  <c r="AC108" i="162"/>
  <c r="AE108" i="162"/>
  <c r="AG108" i="162"/>
  <c r="S108" i="162"/>
  <c r="W108" i="162"/>
  <c r="AD108" i="162"/>
  <c r="AB108" i="162"/>
  <c r="U108" i="162"/>
  <c r="AA108" i="162"/>
  <c r="AF108" i="162"/>
  <c r="A132" i="162"/>
  <c r="S131" i="162"/>
  <c r="U131" i="162"/>
  <c r="W131" i="162"/>
  <c r="Y131" i="162"/>
  <c r="AA131" i="162"/>
  <c r="AC131" i="162"/>
  <c r="AE131" i="162"/>
  <c r="AG131" i="162"/>
  <c r="R131" i="162"/>
  <c r="V131" i="162"/>
  <c r="Z131" i="162"/>
  <c r="AD131" i="162"/>
  <c r="T131" i="162"/>
  <c r="X131" i="162"/>
  <c r="AB131" i="162"/>
  <c r="AF131" i="162"/>
  <c r="A26" i="162"/>
  <c r="T25" i="162"/>
  <c r="X25" i="162"/>
  <c r="AB25" i="162"/>
  <c r="AF25" i="162"/>
  <c r="U25" i="162"/>
  <c r="Y25" i="162"/>
  <c r="AC25" i="162"/>
  <c r="AG25" i="162"/>
  <c r="R25" i="162"/>
  <c r="V25" i="162"/>
  <c r="Z25" i="162"/>
  <c r="AD25" i="162"/>
  <c r="S25" i="162"/>
  <c r="W25" i="162"/>
  <c r="AA25" i="162"/>
  <c r="AE25" i="162"/>
  <c r="A41" i="162"/>
  <c r="AG40" i="162"/>
  <c r="AE40" i="162"/>
  <c r="AC40" i="162"/>
  <c r="AA40" i="162"/>
  <c r="Y40" i="162"/>
  <c r="W40" i="162"/>
  <c r="U40" i="162"/>
  <c r="S40" i="162"/>
  <c r="AF40" i="162"/>
  <c r="AD40" i="162"/>
  <c r="AB40" i="162"/>
  <c r="Z40" i="162"/>
  <c r="X40" i="162"/>
  <c r="V40" i="162"/>
  <c r="T40" i="162"/>
  <c r="R40" i="162"/>
  <c r="S69" i="156"/>
  <c r="T69" i="156"/>
  <c r="R69" i="156"/>
  <c r="Q69" i="156"/>
  <c r="T67" i="156"/>
  <c r="S67" i="156"/>
  <c r="R67" i="156"/>
  <c r="Q67" i="156"/>
  <c r="P67" i="156"/>
  <c r="O67" i="156"/>
  <c r="N67" i="156"/>
  <c r="M67" i="156"/>
  <c r="L67" i="156"/>
  <c r="K67" i="156"/>
  <c r="J67" i="156"/>
  <c r="T66" i="156"/>
  <c r="P66" i="156"/>
  <c r="P65" i="156"/>
  <c r="P64" i="156"/>
  <c r="P63" i="156"/>
  <c r="T61" i="156"/>
  <c r="S61" i="156"/>
  <c r="R61" i="156"/>
  <c r="O61" i="156"/>
  <c r="N61" i="156"/>
  <c r="M61" i="156"/>
  <c r="L61" i="156"/>
  <c r="K61" i="156"/>
  <c r="J61" i="156"/>
  <c r="P60" i="156"/>
  <c r="P61" i="156" s="1"/>
  <c r="P59" i="156"/>
  <c r="T57" i="156"/>
  <c r="S57" i="156"/>
  <c r="R57" i="156"/>
  <c r="O57" i="156"/>
  <c r="N57" i="156"/>
  <c r="M57" i="156"/>
  <c r="L57" i="156"/>
  <c r="K57" i="156"/>
  <c r="J57" i="156"/>
  <c r="P56" i="156"/>
  <c r="P55" i="156"/>
  <c r="P54" i="156"/>
  <c r="P53" i="156"/>
  <c r="P52" i="156"/>
  <c r="P57" i="156" s="1"/>
  <c r="O50" i="156"/>
  <c r="N50" i="156"/>
  <c r="M50" i="156"/>
  <c r="P49" i="156"/>
  <c r="P48" i="156"/>
  <c r="P47" i="156"/>
  <c r="P46" i="156"/>
  <c r="P50" i="156" s="1"/>
  <c r="S44" i="156"/>
  <c r="R44" i="156"/>
  <c r="Q44" i="156"/>
  <c r="O44" i="156"/>
  <c r="N44" i="156"/>
  <c r="M44" i="156"/>
  <c r="K44" i="156"/>
  <c r="J44" i="156"/>
  <c r="T43" i="156"/>
  <c r="P43" i="156"/>
  <c r="L43" i="156"/>
  <c r="L44" i="156" s="1"/>
  <c r="T42" i="156"/>
  <c r="P42" i="156"/>
  <c r="T41" i="156"/>
  <c r="P41" i="156"/>
  <c r="T40" i="156"/>
  <c r="T44" i="156" s="1"/>
  <c r="P40" i="156"/>
  <c r="P44" i="156" s="1"/>
  <c r="S38" i="156"/>
  <c r="R38" i="156"/>
  <c r="Q38" i="156"/>
  <c r="O38" i="156"/>
  <c r="N38" i="156"/>
  <c r="M38" i="156"/>
  <c r="K38" i="156"/>
  <c r="J38" i="156"/>
  <c r="T37" i="156"/>
  <c r="P37" i="156"/>
  <c r="L37" i="156"/>
  <c r="L38" i="156" s="1"/>
  <c r="T36" i="156"/>
  <c r="P36" i="156"/>
  <c r="T35" i="156"/>
  <c r="P35" i="156"/>
  <c r="T34" i="156"/>
  <c r="T38" i="156" s="1"/>
  <c r="P34" i="156"/>
  <c r="P38" i="156" s="1"/>
  <c r="S32" i="156"/>
  <c r="R32" i="156"/>
  <c r="Q32" i="156"/>
  <c r="O32" i="156"/>
  <c r="N32" i="156"/>
  <c r="M32" i="156"/>
  <c r="L32" i="156"/>
  <c r="K32" i="156"/>
  <c r="J32" i="156"/>
  <c r="T31" i="156"/>
  <c r="P31" i="156"/>
  <c r="T30" i="156"/>
  <c r="P30" i="156"/>
  <c r="T29" i="156"/>
  <c r="P29" i="156"/>
  <c r="T28" i="156"/>
  <c r="P28" i="156"/>
  <c r="T27" i="156"/>
  <c r="P27" i="156"/>
  <c r="T26" i="156"/>
  <c r="P26" i="156"/>
  <c r="T25" i="156"/>
  <c r="T32" i="156" s="1"/>
  <c r="P25" i="156"/>
  <c r="P32" i="156" s="1"/>
  <c r="T23" i="156"/>
  <c r="S23" i="156"/>
  <c r="R23" i="156"/>
  <c r="Q23" i="156"/>
  <c r="O23" i="156"/>
  <c r="N23" i="156"/>
  <c r="M23" i="156"/>
  <c r="L23" i="156"/>
  <c r="K23" i="156"/>
  <c r="J23" i="156"/>
  <c r="T22" i="156"/>
  <c r="P22" i="156"/>
  <c r="T21" i="156"/>
  <c r="P21" i="156"/>
  <c r="T20" i="156"/>
  <c r="P20" i="156"/>
  <c r="T19" i="156"/>
  <c r="P19" i="156"/>
  <c r="T18" i="156"/>
  <c r="P18" i="156"/>
  <c r="T17" i="156"/>
  <c r="P17" i="156"/>
  <c r="P16" i="156"/>
  <c r="P15" i="156"/>
  <c r="P23" i="156" s="1"/>
  <c r="P14" i="156"/>
  <c r="T12" i="156"/>
  <c r="S12" i="156"/>
  <c r="R12" i="156"/>
  <c r="O12" i="156"/>
  <c r="N12" i="156"/>
  <c r="M12" i="156"/>
  <c r="L12" i="156"/>
  <c r="K12" i="156"/>
  <c r="J12" i="156"/>
  <c r="P11" i="156"/>
  <c r="P10" i="156"/>
  <c r="P12" i="156" s="1"/>
  <c r="S9" i="156"/>
  <c r="R9" i="156"/>
  <c r="Q9" i="156"/>
  <c r="O9" i="156"/>
  <c r="N9" i="156"/>
  <c r="P9" i="156" s="1"/>
  <c r="M9" i="156"/>
  <c r="L9" i="156"/>
  <c r="K9" i="156"/>
  <c r="J9" i="156"/>
  <c r="T8" i="156"/>
  <c r="P8" i="156"/>
  <c r="T7" i="156"/>
  <c r="P7" i="156"/>
  <c r="T6" i="156"/>
  <c r="P6" i="156"/>
  <c r="T5" i="156"/>
  <c r="T9" i="156" s="1"/>
  <c r="P5" i="156"/>
  <c r="S132" i="162" l="1"/>
  <c r="U132" i="162"/>
  <c r="W132" i="162"/>
  <c r="Y132" i="162"/>
  <c r="AA132" i="162"/>
  <c r="AC132" i="162"/>
  <c r="AE132" i="162"/>
  <c r="AG132" i="162"/>
  <c r="R132" i="162"/>
  <c r="V132" i="162"/>
  <c r="Z132" i="162"/>
  <c r="AD132" i="162"/>
  <c r="T132" i="162"/>
  <c r="X132" i="162"/>
  <c r="AB132" i="162"/>
  <c r="AF132" i="162"/>
  <c r="A110" i="162"/>
  <c r="S109" i="162"/>
  <c r="U109" i="162"/>
  <c r="W109" i="162"/>
  <c r="AA109" i="162"/>
  <c r="AD109" i="162"/>
  <c r="AF109" i="162"/>
  <c r="T109" i="162"/>
  <c r="X109" i="162"/>
  <c r="AE109" i="162"/>
  <c r="AB109" i="162"/>
  <c r="R109" i="162"/>
  <c r="V109" i="162"/>
  <c r="AC109" i="162"/>
  <c r="AG109" i="162"/>
  <c r="A140" i="162"/>
  <c r="R139" i="162"/>
  <c r="T139" i="162"/>
  <c r="V139" i="162"/>
  <c r="X139" i="162"/>
  <c r="AC139" i="162"/>
  <c r="AE139" i="162"/>
  <c r="AG139" i="162"/>
  <c r="S139" i="162"/>
  <c r="W139" i="162"/>
  <c r="U139" i="162"/>
  <c r="AD139" i="162"/>
  <c r="AA139" i="162"/>
  <c r="AF139" i="162"/>
  <c r="AB139" i="162"/>
  <c r="R26" i="162"/>
  <c r="V26" i="162"/>
  <c r="Z26" i="162"/>
  <c r="AD26" i="162"/>
  <c r="S26" i="162"/>
  <c r="W26" i="162"/>
  <c r="AA26" i="162"/>
  <c r="AE26" i="162"/>
  <c r="A27" i="162"/>
  <c r="T26" i="162"/>
  <c r="X26" i="162"/>
  <c r="AB26" i="162"/>
  <c r="AF26" i="162"/>
  <c r="U26" i="162"/>
  <c r="Y26" i="162"/>
  <c r="AC26" i="162"/>
  <c r="AG26" i="162"/>
  <c r="A42" i="162"/>
  <c r="AG41" i="162"/>
  <c r="AE41" i="162"/>
  <c r="AC41" i="162"/>
  <c r="AA41" i="162"/>
  <c r="Y41" i="162"/>
  <c r="W41" i="162"/>
  <c r="U41" i="162"/>
  <c r="S41" i="162"/>
  <c r="AF41" i="162"/>
  <c r="AD41" i="162"/>
  <c r="AB41" i="162"/>
  <c r="Z41" i="162"/>
  <c r="X41" i="162"/>
  <c r="V41" i="162"/>
  <c r="T41" i="162"/>
  <c r="R41" i="162"/>
  <c r="AF20" i="159"/>
  <c r="AD103" i="159"/>
  <c r="AD102" i="159"/>
  <c r="AD108" i="159"/>
  <c r="AD106" i="159"/>
  <c r="AF106" i="159"/>
  <c r="AF108" i="159"/>
  <c r="AH108" i="159" s="1"/>
  <c r="Z103" i="159"/>
  <c r="Z104" i="159"/>
  <c r="Z105" i="159"/>
  <c r="Z109" i="159" s="1"/>
  <c r="Z106" i="159"/>
  <c r="Z107" i="159"/>
  <c r="AD107" i="159" s="1"/>
  <c r="AF107" i="159" s="1"/>
  <c r="Z108" i="159"/>
  <c r="N109" i="159"/>
  <c r="Q103" i="159"/>
  <c r="Q104" i="159"/>
  <c r="Q105" i="159"/>
  <c r="Q106" i="159"/>
  <c r="Q107" i="159"/>
  <c r="Q108" i="159"/>
  <c r="A44" i="162" l="1"/>
  <c r="R42" i="162"/>
  <c r="T42" i="162"/>
  <c r="V42" i="162"/>
  <c r="X42" i="162"/>
  <c r="Z42" i="162"/>
  <c r="AB42" i="162"/>
  <c r="AD42" i="162"/>
  <c r="AF42" i="162"/>
  <c r="S42" i="162"/>
  <c r="U42" i="162"/>
  <c r="W42" i="162"/>
  <c r="Y42" i="162"/>
  <c r="AA42" i="162"/>
  <c r="AC42" i="162"/>
  <c r="AE42" i="162"/>
  <c r="AG42" i="162"/>
  <c r="A141" i="162"/>
  <c r="S140" i="162"/>
  <c r="U140" i="162"/>
  <c r="W140" i="162"/>
  <c r="AA140" i="162"/>
  <c r="AD140" i="162"/>
  <c r="AF140" i="162"/>
  <c r="R140" i="162"/>
  <c r="V140" i="162"/>
  <c r="AC140" i="162"/>
  <c r="AG140" i="162"/>
  <c r="T140" i="162"/>
  <c r="X140" i="162"/>
  <c r="AE140" i="162"/>
  <c r="AB140" i="162"/>
  <c r="A111" i="162"/>
  <c r="R110" i="162"/>
  <c r="T110" i="162"/>
  <c r="V110" i="162"/>
  <c r="X110" i="162"/>
  <c r="AC110" i="162"/>
  <c r="AE110" i="162"/>
  <c r="AG110" i="162"/>
  <c r="S110" i="162"/>
  <c r="W110" i="162"/>
  <c r="AD110" i="162"/>
  <c r="AB110" i="162"/>
  <c r="U110" i="162"/>
  <c r="AA110" i="162"/>
  <c r="AF110" i="162"/>
  <c r="R27" i="162"/>
  <c r="V27" i="162"/>
  <c r="Z27" i="162"/>
  <c r="AD27" i="162"/>
  <c r="S27" i="162"/>
  <c r="W27" i="162"/>
  <c r="AA27" i="162"/>
  <c r="AE27" i="162"/>
  <c r="A28" i="162"/>
  <c r="T27" i="162"/>
  <c r="X27" i="162"/>
  <c r="AB27" i="162"/>
  <c r="AF27" i="162"/>
  <c r="U27" i="162"/>
  <c r="Y27" i="162"/>
  <c r="AC27" i="162"/>
  <c r="AG27" i="162"/>
  <c r="A45" i="162"/>
  <c r="AG44" i="162"/>
  <c r="AE44" i="162"/>
  <c r="AC44" i="162"/>
  <c r="AA44" i="162"/>
  <c r="Y44" i="162"/>
  <c r="W44" i="162"/>
  <c r="U44" i="162"/>
  <c r="S44" i="162"/>
  <c r="AF44" i="162"/>
  <c r="AD44" i="162"/>
  <c r="AB44" i="162"/>
  <c r="Z44" i="162"/>
  <c r="X44" i="162"/>
  <c r="V44" i="162"/>
  <c r="T44" i="162"/>
  <c r="R44" i="162"/>
  <c r="AF103" i="159"/>
  <c r="AH103" i="159" s="1"/>
  <c r="AL103" i="159"/>
  <c r="AD105" i="159"/>
  <c r="J87" i="161"/>
  <c r="J84" i="161"/>
  <c r="J79" i="161"/>
  <c r="J73" i="161"/>
  <c r="J69" i="161"/>
  <c r="J62" i="161"/>
  <c r="J56" i="161"/>
  <c r="J50" i="161"/>
  <c r="J44" i="161"/>
  <c r="J35" i="161"/>
  <c r="J24" i="161"/>
  <c r="J21" i="161"/>
  <c r="J12" i="161"/>
  <c r="J90" i="161" s="1"/>
  <c r="J7" i="161"/>
  <c r="J89" i="161" s="1"/>
  <c r="A112" i="162" l="1"/>
  <c r="S111" i="162"/>
  <c r="U111" i="162"/>
  <c r="W111" i="162"/>
  <c r="AA111" i="162"/>
  <c r="AD111" i="162"/>
  <c r="AF111" i="162"/>
  <c r="R111" i="162"/>
  <c r="V111" i="162"/>
  <c r="AC111" i="162"/>
  <c r="AG111" i="162"/>
  <c r="T111" i="162"/>
  <c r="X111" i="162"/>
  <c r="AE111" i="162"/>
  <c r="AB111" i="162"/>
  <c r="A142" i="162"/>
  <c r="S141" i="162"/>
  <c r="U141" i="162"/>
  <c r="W141" i="162"/>
  <c r="AA141" i="162"/>
  <c r="AD141" i="162"/>
  <c r="AF141" i="162"/>
  <c r="T141" i="162"/>
  <c r="X141" i="162"/>
  <c r="AE141" i="162"/>
  <c r="R141" i="162"/>
  <c r="V141" i="162"/>
  <c r="AC141" i="162"/>
  <c r="AG141" i="162"/>
  <c r="AB141" i="162"/>
  <c r="A29" i="162"/>
  <c r="T28" i="162"/>
  <c r="X28" i="162"/>
  <c r="AB28" i="162"/>
  <c r="AF28" i="162"/>
  <c r="U28" i="162"/>
  <c r="Y28" i="162"/>
  <c r="AC28" i="162"/>
  <c r="AG28" i="162"/>
  <c r="R28" i="162"/>
  <c r="V28" i="162"/>
  <c r="Z28" i="162"/>
  <c r="AD28" i="162"/>
  <c r="S28" i="162"/>
  <c r="W28" i="162"/>
  <c r="AA28" i="162"/>
  <c r="AE28" i="162"/>
  <c r="A46" i="162"/>
  <c r="AG45" i="162"/>
  <c r="AE45" i="162"/>
  <c r="AC45" i="162"/>
  <c r="AA45" i="162"/>
  <c r="Y45" i="162"/>
  <c r="W45" i="162"/>
  <c r="U45" i="162"/>
  <c r="S45" i="162"/>
  <c r="AF45" i="162"/>
  <c r="AD45" i="162"/>
  <c r="AB45" i="162"/>
  <c r="Z45" i="162"/>
  <c r="X45" i="162"/>
  <c r="V45" i="162"/>
  <c r="T45" i="162"/>
  <c r="R45" i="162"/>
  <c r="AL105" i="159"/>
  <c r="AD109" i="159"/>
  <c r="AF105" i="159"/>
  <c r="J88" i="161"/>
  <c r="J91" i="161" s="1"/>
  <c r="A143" i="162" l="1"/>
  <c r="R142" i="162"/>
  <c r="T142" i="162"/>
  <c r="V142" i="162"/>
  <c r="X142" i="162"/>
  <c r="AC142" i="162"/>
  <c r="AE142" i="162"/>
  <c r="AG142" i="162"/>
  <c r="S142" i="162"/>
  <c r="W142" i="162"/>
  <c r="AD142" i="162"/>
  <c r="U142" i="162"/>
  <c r="AA142" i="162"/>
  <c r="AF142" i="162"/>
  <c r="AB142" i="162"/>
  <c r="A113" i="162"/>
  <c r="R112" i="162"/>
  <c r="T112" i="162"/>
  <c r="V112" i="162"/>
  <c r="X112" i="162"/>
  <c r="AC112" i="162"/>
  <c r="AE112" i="162"/>
  <c r="AG112" i="162"/>
  <c r="U112" i="162"/>
  <c r="AA112" i="162"/>
  <c r="AF112" i="162"/>
  <c r="S112" i="162"/>
  <c r="W112" i="162"/>
  <c r="AD112" i="162"/>
  <c r="AB112" i="162"/>
  <c r="R29" i="162"/>
  <c r="V29" i="162"/>
  <c r="AD29" i="162"/>
  <c r="S29" i="162"/>
  <c r="W29" i="162"/>
  <c r="AA29" i="162"/>
  <c r="AE29" i="162"/>
  <c r="A30" i="162"/>
  <c r="T29" i="162"/>
  <c r="X29" i="162"/>
  <c r="AB29" i="162"/>
  <c r="AF29" i="162"/>
  <c r="U29" i="162"/>
  <c r="AC29" i="162"/>
  <c r="AG29" i="162"/>
  <c r="A47" i="162"/>
  <c r="AG46" i="162"/>
  <c r="AE46" i="162"/>
  <c r="AC46" i="162"/>
  <c r="AA46" i="162"/>
  <c r="Y46" i="162"/>
  <c r="W46" i="162"/>
  <c r="U46" i="162"/>
  <c r="S46" i="162"/>
  <c r="AF46" i="162"/>
  <c r="AD46" i="162"/>
  <c r="AB46" i="162"/>
  <c r="Z46" i="162"/>
  <c r="X46" i="162"/>
  <c r="V46" i="162"/>
  <c r="T46" i="162"/>
  <c r="R46" i="162"/>
  <c r="AH105" i="159"/>
  <c r="A114" i="162" l="1"/>
  <c r="R113" i="162"/>
  <c r="T113" i="162"/>
  <c r="V113" i="162"/>
  <c r="X113" i="162"/>
  <c r="AC113" i="162"/>
  <c r="AE113" i="162"/>
  <c r="AG113" i="162"/>
  <c r="U113" i="162"/>
  <c r="AA113" i="162"/>
  <c r="AF113" i="162"/>
  <c r="S113" i="162"/>
  <c r="W113" i="162"/>
  <c r="AD113" i="162"/>
  <c r="AB113" i="162"/>
  <c r="A144" i="162"/>
  <c r="S143" i="162"/>
  <c r="U143" i="162"/>
  <c r="W143" i="162"/>
  <c r="AA143" i="162"/>
  <c r="AD143" i="162"/>
  <c r="AF143" i="162"/>
  <c r="R143" i="162"/>
  <c r="V143" i="162"/>
  <c r="AC143" i="162"/>
  <c r="AG143" i="162"/>
  <c r="T143" i="162"/>
  <c r="X143" i="162"/>
  <c r="AE143" i="162"/>
  <c r="AB143" i="162"/>
  <c r="A31" i="162"/>
  <c r="T30" i="162"/>
  <c r="X30" i="162"/>
  <c r="AB30" i="162"/>
  <c r="AF30" i="162"/>
  <c r="U30" i="162"/>
  <c r="Y30" i="162"/>
  <c r="AC30" i="162"/>
  <c r="AG30" i="162"/>
  <c r="R30" i="162"/>
  <c r="V30" i="162"/>
  <c r="Z30" i="162"/>
  <c r="AD30" i="162"/>
  <c r="S30" i="162"/>
  <c r="W30" i="162"/>
  <c r="AA30" i="162"/>
  <c r="AE30" i="162"/>
  <c r="A48" i="162"/>
  <c r="AG47" i="162"/>
  <c r="AE47" i="162"/>
  <c r="AC47" i="162"/>
  <c r="AA47" i="162"/>
  <c r="Y47" i="162"/>
  <c r="W47" i="162"/>
  <c r="U47" i="162"/>
  <c r="S47" i="162"/>
  <c r="AF47" i="162"/>
  <c r="AD47" i="162"/>
  <c r="AB47" i="162"/>
  <c r="Z47" i="162"/>
  <c r="X47" i="162"/>
  <c r="V47" i="162"/>
  <c r="T47" i="162"/>
  <c r="R47" i="162"/>
  <c r="W48" i="159"/>
  <c r="A145" i="162" l="1"/>
  <c r="R144" i="162"/>
  <c r="T144" i="162"/>
  <c r="V144" i="162"/>
  <c r="X144" i="162"/>
  <c r="AC144" i="162"/>
  <c r="AE144" i="162"/>
  <c r="AG144" i="162"/>
  <c r="U144" i="162"/>
  <c r="AA144" i="162"/>
  <c r="AF144" i="162"/>
  <c r="S144" i="162"/>
  <c r="W144" i="162"/>
  <c r="AD144" i="162"/>
  <c r="AB144" i="162"/>
  <c r="A115" i="162"/>
  <c r="S114" i="162"/>
  <c r="U114" i="162"/>
  <c r="W114" i="162"/>
  <c r="AA114" i="162"/>
  <c r="AD114" i="162"/>
  <c r="AF114" i="162"/>
  <c r="T114" i="162"/>
  <c r="X114" i="162"/>
  <c r="AE114" i="162"/>
  <c r="AB114" i="162"/>
  <c r="R114" i="162"/>
  <c r="V114" i="162"/>
  <c r="AC114" i="162"/>
  <c r="AG114" i="162"/>
  <c r="A32" i="162"/>
  <c r="T31" i="162"/>
  <c r="U31" i="162"/>
  <c r="X31" i="162"/>
  <c r="AB31" i="162"/>
  <c r="AF31" i="162"/>
  <c r="Y31" i="162"/>
  <c r="AC31" i="162"/>
  <c r="AG31" i="162"/>
  <c r="AD31" i="162"/>
  <c r="AA31" i="162"/>
  <c r="R31" i="162"/>
  <c r="S31" i="162"/>
  <c r="V31" i="162"/>
  <c r="Z31" i="162"/>
  <c r="W31" i="162"/>
  <c r="AE31" i="162"/>
  <c r="A49" i="162"/>
  <c r="AG48" i="162"/>
  <c r="AE48" i="162"/>
  <c r="AC48" i="162"/>
  <c r="AA48" i="162"/>
  <c r="Y48" i="162"/>
  <c r="W48" i="162"/>
  <c r="U48" i="162"/>
  <c r="S48" i="162"/>
  <c r="AF48" i="162"/>
  <c r="AD48" i="162"/>
  <c r="AB48" i="162"/>
  <c r="Z48" i="162"/>
  <c r="X48" i="162"/>
  <c r="V48" i="162"/>
  <c r="T48" i="162"/>
  <c r="R48" i="162"/>
  <c r="AE126" i="159"/>
  <c r="AB126" i="159"/>
  <c r="O126" i="159"/>
  <c r="AB118" i="159"/>
  <c r="AA118" i="159"/>
  <c r="AK116" i="159"/>
  <c r="AJ116" i="159"/>
  <c r="AI116" i="159"/>
  <c r="AE111" i="159"/>
  <c r="AE115" i="159"/>
  <c r="AB115" i="159"/>
  <c r="AA115" i="159"/>
  <c r="Y109" i="159"/>
  <c r="W109" i="159"/>
  <c r="T109" i="159"/>
  <c r="P109" i="159"/>
  <c r="O109" i="159"/>
  <c r="AC107" i="159"/>
  <c r="X107" i="159"/>
  <c r="AC106" i="159"/>
  <c r="X106" i="159"/>
  <c r="AC104" i="159"/>
  <c r="X104" i="159"/>
  <c r="AG102" i="159"/>
  <c r="AG109" i="159" s="1"/>
  <c r="AC102" i="159"/>
  <c r="X102" i="159"/>
  <c r="Q102" i="159"/>
  <c r="AG101" i="159"/>
  <c r="AC101" i="159"/>
  <c r="X101" i="159"/>
  <c r="Q101" i="159"/>
  <c r="AA99" i="159"/>
  <c r="V99" i="159"/>
  <c r="T99" i="159"/>
  <c r="P99" i="159"/>
  <c r="O99" i="159"/>
  <c r="N99" i="159"/>
  <c r="AK98" i="159"/>
  <c r="Q98" i="159"/>
  <c r="Z98" i="159" s="1"/>
  <c r="Z99" i="159" s="1"/>
  <c r="AD99" i="159" s="1"/>
  <c r="AK99" i="159" s="1"/>
  <c r="AP96" i="159"/>
  <c r="AE91" i="159"/>
  <c r="AB91" i="159"/>
  <c r="AA91" i="159"/>
  <c r="S90" i="159"/>
  <c r="AE88" i="159"/>
  <c r="AB88" i="159"/>
  <c r="AA88" i="159"/>
  <c r="Y88" i="159"/>
  <c r="W88" i="159"/>
  <c r="V88" i="159"/>
  <c r="P88" i="159"/>
  <c r="N88" i="159"/>
  <c r="AG87" i="159"/>
  <c r="AC87" i="159"/>
  <c r="AC88" i="159" s="1"/>
  <c r="X87" i="159"/>
  <c r="X88" i="159" s="1"/>
  <c r="Q87" i="159"/>
  <c r="AE85" i="159"/>
  <c r="AB85" i="159"/>
  <c r="AA85" i="159"/>
  <c r="Y85" i="159"/>
  <c r="W85" i="159"/>
  <c r="V85" i="159"/>
  <c r="U85" i="159"/>
  <c r="T85" i="159"/>
  <c r="S85" i="159"/>
  <c r="O85" i="159"/>
  <c r="N85" i="159"/>
  <c r="M85" i="159"/>
  <c r="L85" i="159"/>
  <c r="K85" i="159"/>
  <c r="AG84" i="159"/>
  <c r="AC84" i="159"/>
  <c r="X84" i="159"/>
  <c r="Q84" i="159"/>
  <c r="AG83" i="159"/>
  <c r="AC83" i="159"/>
  <c r="X83" i="159"/>
  <c r="X85" i="159" s="1"/>
  <c r="Q83" i="159"/>
  <c r="AG82" i="159"/>
  <c r="AC82" i="159"/>
  <c r="X82" i="159"/>
  <c r="Q82" i="159"/>
  <c r="P85" i="159"/>
  <c r="AK81" i="159"/>
  <c r="AN80" i="159"/>
  <c r="AE80" i="159"/>
  <c r="AB80" i="159"/>
  <c r="AA80" i="159"/>
  <c r="Y80" i="159"/>
  <c r="W80" i="159"/>
  <c r="V80" i="159"/>
  <c r="T80" i="159"/>
  <c r="R80" i="159"/>
  <c r="P80" i="159"/>
  <c r="O80" i="159"/>
  <c r="N80" i="159"/>
  <c r="M80" i="159"/>
  <c r="L80" i="159"/>
  <c r="K80" i="159"/>
  <c r="AC79" i="159"/>
  <c r="AG79" i="159"/>
  <c r="S80" i="159"/>
  <c r="Q79" i="159"/>
  <c r="AG78" i="159"/>
  <c r="AC78" i="159"/>
  <c r="X78" i="159"/>
  <c r="Q78" i="159"/>
  <c r="AK77" i="159"/>
  <c r="AG77" i="159"/>
  <c r="AF77" i="159"/>
  <c r="AC77" i="159"/>
  <c r="X77" i="159"/>
  <c r="Q77" i="159"/>
  <c r="AG76" i="159"/>
  <c r="AC76" i="159"/>
  <c r="X76" i="159"/>
  <c r="Z76" i="159" s="1"/>
  <c r="Q76" i="159"/>
  <c r="AK75" i="159"/>
  <c r="AN74" i="159"/>
  <c r="AE74" i="159"/>
  <c r="AB74" i="159"/>
  <c r="AA74" i="159"/>
  <c r="Y74" i="159"/>
  <c r="X74" i="159"/>
  <c r="W74" i="159"/>
  <c r="V74" i="159"/>
  <c r="U74" i="159"/>
  <c r="T74" i="159"/>
  <c r="S74" i="159"/>
  <c r="P74" i="159"/>
  <c r="O74" i="159"/>
  <c r="N74" i="159"/>
  <c r="M74" i="159"/>
  <c r="L74" i="159"/>
  <c r="K74" i="159"/>
  <c r="AG73" i="159"/>
  <c r="AC73" i="159"/>
  <c r="X73" i="159"/>
  <c r="Q73" i="159"/>
  <c r="Q74" i="159" s="1"/>
  <c r="AG72" i="159"/>
  <c r="AC72" i="159"/>
  <c r="X72" i="159"/>
  <c r="Q72" i="159"/>
  <c r="Z72" i="159" s="1"/>
  <c r="AD72" i="159" s="1"/>
  <c r="AK71" i="159"/>
  <c r="AE70" i="159"/>
  <c r="AB70" i="159"/>
  <c r="AA70" i="159"/>
  <c r="W70" i="159"/>
  <c r="V70" i="159"/>
  <c r="U70" i="159"/>
  <c r="T70" i="159"/>
  <c r="S70" i="159"/>
  <c r="N70" i="159"/>
  <c r="M70" i="159"/>
  <c r="L70" i="159"/>
  <c r="K70" i="159"/>
  <c r="AG69" i="159"/>
  <c r="X69" i="159"/>
  <c r="Q69" i="159"/>
  <c r="AG68" i="159"/>
  <c r="AC68" i="159"/>
  <c r="X68" i="159"/>
  <c r="Q68" i="159"/>
  <c r="AR67" i="159"/>
  <c r="AC67" i="159"/>
  <c r="X67" i="159"/>
  <c r="Q67" i="159"/>
  <c r="AG66" i="159"/>
  <c r="AC66" i="159"/>
  <c r="X66" i="159"/>
  <c r="Q66" i="159"/>
  <c r="AG65" i="159"/>
  <c r="AC65" i="159"/>
  <c r="X65" i="159"/>
  <c r="X70" i="159" s="1"/>
  <c r="P70" i="159"/>
  <c r="AK64" i="159"/>
  <c r="AU63" i="159"/>
  <c r="AN63" i="159"/>
  <c r="AE63" i="159"/>
  <c r="AD63" i="159"/>
  <c r="AB63" i="159"/>
  <c r="AA63" i="159"/>
  <c r="Y63" i="159"/>
  <c r="W63" i="159"/>
  <c r="O63" i="159"/>
  <c r="N63" i="159"/>
  <c r="AK62" i="159"/>
  <c r="AH62" i="159"/>
  <c r="AT62" i="159"/>
  <c r="AC62" i="159"/>
  <c r="X62" i="159"/>
  <c r="AK61" i="159"/>
  <c r="AH61" i="159"/>
  <c r="AC61" i="159"/>
  <c r="X61" i="159"/>
  <c r="Q61" i="159"/>
  <c r="AL61" i="159" s="1"/>
  <c r="AK60" i="159"/>
  <c r="AH60" i="159"/>
  <c r="AC60" i="159"/>
  <c r="X60" i="159"/>
  <c r="AL60" i="159" s="1"/>
  <c r="Q60" i="159"/>
  <c r="V60" i="159" s="1"/>
  <c r="AK59" i="159"/>
  <c r="AH59" i="159"/>
  <c r="AC59" i="159"/>
  <c r="X59" i="159"/>
  <c r="Q59" i="159"/>
  <c r="AC58" i="159"/>
  <c r="X58" i="159"/>
  <c r="AE57" i="159"/>
  <c r="AB57" i="159"/>
  <c r="AA57" i="159"/>
  <c r="Y57" i="159"/>
  <c r="W57" i="159"/>
  <c r="V57" i="159"/>
  <c r="S57" i="159"/>
  <c r="R57" i="159"/>
  <c r="O57" i="159"/>
  <c r="N57" i="159"/>
  <c r="L57" i="159"/>
  <c r="K57" i="159"/>
  <c r="AG56" i="159"/>
  <c r="AC56" i="159"/>
  <c r="X56" i="159"/>
  <c r="U56" i="159"/>
  <c r="P57" i="159"/>
  <c r="M56" i="159"/>
  <c r="M57" i="159" s="1"/>
  <c r="AG55" i="159"/>
  <c r="AC55" i="159"/>
  <c r="U55" i="159"/>
  <c r="X55" i="159" s="1"/>
  <c r="Q55" i="159"/>
  <c r="AG54" i="159"/>
  <c r="AC54" i="159"/>
  <c r="X54" i="159"/>
  <c r="U54" i="159"/>
  <c r="Q54" i="159"/>
  <c r="AG53" i="159"/>
  <c r="AC53" i="159"/>
  <c r="U53" i="159"/>
  <c r="X53" i="159" s="1"/>
  <c r="Q53" i="159"/>
  <c r="AK52" i="159"/>
  <c r="AE51" i="159"/>
  <c r="AB51" i="159"/>
  <c r="AA51" i="159"/>
  <c r="AC51" i="159" s="1"/>
  <c r="Y51" i="159"/>
  <c r="W51" i="159"/>
  <c r="V51" i="159"/>
  <c r="T51" i="159"/>
  <c r="S51" i="159"/>
  <c r="R51" i="159"/>
  <c r="O51" i="159"/>
  <c r="L51" i="159"/>
  <c r="K51" i="159"/>
  <c r="AG50" i="159"/>
  <c r="AC50" i="159"/>
  <c r="U50" i="159"/>
  <c r="X50" i="159" s="1"/>
  <c r="Q50" i="159"/>
  <c r="N51" i="159"/>
  <c r="M50" i="159"/>
  <c r="M51" i="159" s="1"/>
  <c r="AC49" i="159"/>
  <c r="U49" i="159"/>
  <c r="X49" i="159" s="1"/>
  <c r="AG49" i="159"/>
  <c r="Q49" i="159"/>
  <c r="AC48" i="159"/>
  <c r="AG48" i="159"/>
  <c r="U48" i="159"/>
  <c r="X48" i="159" s="1"/>
  <c r="Q48" i="159"/>
  <c r="AG47" i="159"/>
  <c r="AC47" i="159"/>
  <c r="U47" i="159"/>
  <c r="X47" i="159" s="1"/>
  <c r="AK46" i="159"/>
  <c r="AE45" i="159"/>
  <c r="AB45" i="159"/>
  <c r="AA45" i="159"/>
  <c r="Y45" i="159"/>
  <c r="V45" i="159"/>
  <c r="S45" i="159"/>
  <c r="R45" i="159"/>
  <c r="N45" i="159"/>
  <c r="M45" i="159"/>
  <c r="L45" i="159"/>
  <c r="K45" i="159"/>
  <c r="AG44" i="159"/>
  <c r="AC44" i="159"/>
  <c r="U44" i="159"/>
  <c r="X44" i="159" s="1"/>
  <c r="Q44" i="159"/>
  <c r="AG43" i="159"/>
  <c r="AC43" i="159"/>
  <c r="U43" i="159"/>
  <c r="X43" i="159" s="1"/>
  <c r="Q43" i="159"/>
  <c r="AG42" i="159"/>
  <c r="AC42" i="159"/>
  <c r="U42" i="159"/>
  <c r="X42" i="159" s="1"/>
  <c r="Q42" i="159"/>
  <c r="AG41" i="159"/>
  <c r="AC41" i="159"/>
  <c r="U41" i="159"/>
  <c r="X41" i="159" s="1"/>
  <c r="Q41" i="159"/>
  <c r="AC40" i="159"/>
  <c r="W45" i="159"/>
  <c r="U40" i="159"/>
  <c r="X40" i="159" s="1"/>
  <c r="Q40" i="159"/>
  <c r="AG39" i="159"/>
  <c r="AC39" i="159"/>
  <c r="U39" i="159"/>
  <c r="X39" i="159" s="1"/>
  <c r="Q39" i="159"/>
  <c r="AC38" i="159"/>
  <c r="O45" i="159"/>
  <c r="AK37" i="159"/>
  <c r="AJ36" i="159"/>
  <c r="AE36" i="159"/>
  <c r="AB36" i="159"/>
  <c r="AA36" i="159"/>
  <c r="Y36" i="159"/>
  <c r="W36" i="159"/>
  <c r="V36" i="159"/>
  <c r="S36" i="159"/>
  <c r="R36" i="159"/>
  <c r="O36" i="159"/>
  <c r="N36" i="159"/>
  <c r="M36" i="159"/>
  <c r="L36" i="159"/>
  <c r="K36" i="159"/>
  <c r="AG35" i="159"/>
  <c r="AC35" i="159"/>
  <c r="U35" i="159"/>
  <c r="X35" i="159" s="1"/>
  <c r="Q35" i="159"/>
  <c r="AG34" i="159"/>
  <c r="AC34" i="159"/>
  <c r="U34" i="159"/>
  <c r="X34" i="159" s="1"/>
  <c r="Q34" i="159"/>
  <c r="Z34" i="159" s="1"/>
  <c r="AD34" i="159" s="1"/>
  <c r="AC33" i="159"/>
  <c r="AG33" i="159"/>
  <c r="Q33" i="159"/>
  <c r="AG32" i="159"/>
  <c r="AC32" i="159"/>
  <c r="U32" i="159"/>
  <c r="X32" i="159" s="1"/>
  <c r="Q32" i="159"/>
  <c r="AG31" i="159"/>
  <c r="AC31" i="159"/>
  <c r="U31" i="159"/>
  <c r="X31" i="159" s="1"/>
  <c r="Q31" i="159"/>
  <c r="AC30" i="159"/>
  <c r="U30" i="159"/>
  <c r="Q30" i="159"/>
  <c r="AG29" i="159"/>
  <c r="AC29" i="159"/>
  <c r="X29" i="159"/>
  <c r="AG28" i="159"/>
  <c r="AC28" i="159"/>
  <c r="X28" i="159"/>
  <c r="Q28" i="159"/>
  <c r="AG27" i="159"/>
  <c r="AC27" i="159"/>
  <c r="X27" i="159"/>
  <c r="Q27" i="159"/>
  <c r="AQ26" i="159"/>
  <c r="AK26" i="159"/>
  <c r="AE25" i="159"/>
  <c r="AB25" i="159"/>
  <c r="AA25" i="159"/>
  <c r="AC25" i="159" s="1"/>
  <c r="Y25" i="159"/>
  <c r="W25" i="159"/>
  <c r="V25" i="159"/>
  <c r="U25" i="159"/>
  <c r="T25" i="159"/>
  <c r="S25" i="159"/>
  <c r="O25" i="159"/>
  <c r="N25" i="159"/>
  <c r="M25" i="159"/>
  <c r="L25" i="159"/>
  <c r="K25" i="159"/>
  <c r="AG24" i="159"/>
  <c r="AC24" i="159"/>
  <c r="X24" i="159"/>
  <c r="AG23" i="159"/>
  <c r="AC23" i="159"/>
  <c r="X23" i="159"/>
  <c r="Q23" i="159"/>
  <c r="AE22" i="159"/>
  <c r="AB22" i="159"/>
  <c r="AA22" i="159"/>
  <c r="Y22" i="159"/>
  <c r="W22" i="159"/>
  <c r="V22" i="159"/>
  <c r="T22" i="159"/>
  <c r="S22" i="159"/>
  <c r="R22" i="159"/>
  <c r="N22" i="159"/>
  <c r="M22" i="159"/>
  <c r="L22" i="159"/>
  <c r="K22" i="159"/>
  <c r="AG21" i="159"/>
  <c r="AC21" i="159"/>
  <c r="U21" i="159"/>
  <c r="X21" i="159" s="1"/>
  <c r="P22" i="159"/>
  <c r="AG20" i="159"/>
  <c r="AC20" i="159"/>
  <c r="U20" i="159"/>
  <c r="X20" i="159" s="1"/>
  <c r="O22" i="159"/>
  <c r="AG19" i="159"/>
  <c r="AC19" i="159"/>
  <c r="U19" i="159"/>
  <c r="X19" i="159" s="1"/>
  <c r="Q19" i="159"/>
  <c r="AG18" i="159"/>
  <c r="AC18" i="159"/>
  <c r="U18" i="159"/>
  <c r="U22" i="159" s="1"/>
  <c r="Q18" i="159"/>
  <c r="X17" i="159"/>
  <c r="AK14" i="159"/>
  <c r="AC14" i="159"/>
  <c r="AC13" i="159"/>
  <c r="AC91" i="159" s="1"/>
  <c r="Y13" i="159"/>
  <c r="X13" i="159"/>
  <c r="W13" i="159"/>
  <c r="W91" i="159" s="1"/>
  <c r="V13" i="159"/>
  <c r="U13" i="159"/>
  <c r="U91" i="159" s="1"/>
  <c r="T13" i="159"/>
  <c r="T91" i="159" s="1"/>
  <c r="S13" i="159"/>
  <c r="R13" i="159"/>
  <c r="R91" i="159" s="1"/>
  <c r="P13" i="159"/>
  <c r="O13" i="159"/>
  <c r="O91" i="159" s="1"/>
  <c r="N13" i="159"/>
  <c r="AL12" i="159"/>
  <c r="AG12" i="159"/>
  <c r="Z12" i="159"/>
  <c r="AD12" i="159" s="1"/>
  <c r="AK12" i="159" s="1"/>
  <c r="Q12" i="159"/>
  <c r="AG11" i="159"/>
  <c r="AL11" i="159" s="1"/>
  <c r="Q11" i="159"/>
  <c r="Z11" i="159" s="1"/>
  <c r="AD11" i="159" s="1"/>
  <c r="AG10" i="159"/>
  <c r="AL10" i="159" s="1"/>
  <c r="Q10" i="159"/>
  <c r="P9" i="159"/>
  <c r="AE8" i="159"/>
  <c r="AE9" i="159" s="1"/>
  <c r="AB8" i="159"/>
  <c r="AB90" i="159" s="1"/>
  <c r="AA8" i="159"/>
  <c r="AA90" i="159" s="1"/>
  <c r="Y8" i="159"/>
  <c r="Y90" i="159" s="1"/>
  <c r="W8" i="159"/>
  <c r="W90" i="159" s="1"/>
  <c r="V8" i="159"/>
  <c r="V9" i="159" s="1"/>
  <c r="U8" i="159"/>
  <c r="U90" i="159" s="1"/>
  <c r="T8" i="159"/>
  <c r="T90" i="159" s="1"/>
  <c r="P8" i="159"/>
  <c r="P90" i="159" s="1"/>
  <c r="O8" i="159"/>
  <c r="N8" i="159"/>
  <c r="N90" i="159" s="1"/>
  <c r="AG7" i="159"/>
  <c r="AC7" i="159"/>
  <c r="X7" i="159"/>
  <c r="Q7" i="159"/>
  <c r="AG6" i="159"/>
  <c r="AC6" i="159"/>
  <c r="AC8" i="159" s="1"/>
  <c r="X6" i="159"/>
  <c r="X8" i="159" s="1"/>
  <c r="Q6" i="159"/>
  <c r="Z6" i="159" s="1"/>
  <c r="AD6" i="159" s="1"/>
  <c r="AP4" i="159"/>
  <c r="B3" i="159"/>
  <c r="A116" i="162" l="1"/>
  <c r="R115" i="162"/>
  <c r="T115" i="162"/>
  <c r="V115" i="162"/>
  <c r="X115" i="162"/>
  <c r="AC115" i="162"/>
  <c r="AE115" i="162"/>
  <c r="AG115" i="162"/>
  <c r="S115" i="162"/>
  <c r="W115" i="162"/>
  <c r="AD115" i="162"/>
  <c r="U115" i="162"/>
  <c r="AA115" i="162"/>
  <c r="AF115" i="162"/>
  <c r="AB115" i="162"/>
  <c r="A146" i="162"/>
  <c r="S145" i="162"/>
  <c r="U145" i="162"/>
  <c r="W145" i="162"/>
  <c r="AA145" i="162"/>
  <c r="AD145" i="162"/>
  <c r="AF145" i="162"/>
  <c r="T145" i="162"/>
  <c r="X145" i="162"/>
  <c r="AE145" i="162"/>
  <c r="R145" i="162"/>
  <c r="V145" i="162"/>
  <c r="AC145" i="162"/>
  <c r="AG145" i="162"/>
  <c r="AB145" i="162"/>
  <c r="R32" i="162"/>
  <c r="V32" i="162"/>
  <c r="Z32" i="162"/>
  <c r="AD32" i="162"/>
  <c r="S32" i="162"/>
  <c r="W32" i="162"/>
  <c r="AA32" i="162"/>
  <c r="AE32" i="162"/>
  <c r="A33" i="162"/>
  <c r="T32" i="162"/>
  <c r="X32" i="162"/>
  <c r="AB32" i="162"/>
  <c r="AF32" i="162"/>
  <c r="U32" i="162"/>
  <c r="Y32" i="162"/>
  <c r="AC32" i="162"/>
  <c r="AG32" i="162"/>
  <c r="A50" i="162"/>
  <c r="AG49" i="162"/>
  <c r="AE49" i="162"/>
  <c r="AC49" i="162"/>
  <c r="AA49" i="162"/>
  <c r="Y49" i="162"/>
  <c r="W49" i="162"/>
  <c r="U49" i="162"/>
  <c r="S49" i="162"/>
  <c r="AF49" i="162"/>
  <c r="AD49" i="162"/>
  <c r="AB49" i="162"/>
  <c r="Z49" i="162"/>
  <c r="X49" i="162"/>
  <c r="V49" i="162"/>
  <c r="T49" i="162"/>
  <c r="R49" i="162"/>
  <c r="AC109" i="159"/>
  <c r="AC45" i="159"/>
  <c r="AC70" i="159"/>
  <c r="Z23" i="159"/>
  <c r="Z42" i="159"/>
  <c r="AD42" i="159" s="1"/>
  <c r="Z44" i="159"/>
  <c r="AD44" i="159" s="1"/>
  <c r="AL44" i="159" s="1"/>
  <c r="AC36" i="159"/>
  <c r="Z84" i="159"/>
  <c r="AD84" i="159" s="1"/>
  <c r="AK84" i="159" s="1"/>
  <c r="X25" i="159"/>
  <c r="T9" i="159"/>
  <c r="AF12" i="159"/>
  <c r="V61" i="159"/>
  <c r="Z61" i="159" s="1"/>
  <c r="AC63" i="159"/>
  <c r="AR61" i="159"/>
  <c r="AV61" i="159" s="1"/>
  <c r="Z73" i="159"/>
  <c r="AD73" i="159" s="1"/>
  <c r="AK73" i="159" s="1"/>
  <c r="AB9" i="159"/>
  <c r="X18" i="159"/>
  <c r="R89" i="159"/>
  <c r="R96" i="159" s="1"/>
  <c r="Q13" i="159"/>
  <c r="V89" i="159"/>
  <c r="V96" i="159" s="1"/>
  <c r="Z28" i="159"/>
  <c r="AD28" i="159" s="1"/>
  <c r="AC57" i="159"/>
  <c r="Z68" i="159"/>
  <c r="AD68" i="159" s="1"/>
  <c r="AF68" i="159" s="1"/>
  <c r="AH68" i="159" s="1"/>
  <c r="Z82" i="159"/>
  <c r="AD82" i="159" s="1"/>
  <c r="AL82" i="159" s="1"/>
  <c r="Z83" i="159"/>
  <c r="AD83" i="159" s="1"/>
  <c r="AF83" i="159" s="1"/>
  <c r="AK107" i="159"/>
  <c r="Q109" i="159"/>
  <c r="I99" i="159"/>
  <c r="Z101" i="159"/>
  <c r="W9" i="159"/>
  <c r="AF73" i="159"/>
  <c r="U51" i="159"/>
  <c r="Z39" i="159"/>
  <c r="AD39" i="159" s="1"/>
  <c r="AF39" i="159" s="1"/>
  <c r="AH39" i="159" s="1"/>
  <c r="Z31" i="159"/>
  <c r="AD31" i="159" s="1"/>
  <c r="AF31" i="159" s="1"/>
  <c r="Z32" i="159"/>
  <c r="AD32" i="159" s="1"/>
  <c r="AK32" i="159" s="1"/>
  <c r="AC115" i="159"/>
  <c r="AC124" i="159" s="1"/>
  <c r="AC85" i="159"/>
  <c r="X22" i="159"/>
  <c r="V90" i="159"/>
  <c r="AG90" i="159" s="1"/>
  <c r="Z10" i="159"/>
  <c r="AD10" i="159" s="1"/>
  <c r="AD13" i="159" s="1"/>
  <c r="AL13" i="159" s="1"/>
  <c r="AC90" i="159"/>
  <c r="AC9" i="159"/>
  <c r="AF11" i="159"/>
  <c r="AK11" i="159"/>
  <c r="AF42" i="159"/>
  <c r="AH42" i="159" s="1"/>
  <c r="AK42" i="159"/>
  <c r="AF28" i="159"/>
  <c r="AH28" i="159" s="1"/>
  <c r="AK28" i="159"/>
  <c r="AF34" i="159"/>
  <c r="AQ34" i="159" s="1"/>
  <c r="AK34" i="159"/>
  <c r="AL34" i="159"/>
  <c r="O9" i="159"/>
  <c r="O90" i="159"/>
  <c r="Q94" i="159" s="1"/>
  <c r="X91" i="159"/>
  <c r="AL6" i="159"/>
  <c r="Y9" i="159"/>
  <c r="P91" i="159"/>
  <c r="AC22" i="159"/>
  <c r="Z19" i="159"/>
  <c r="AD19" i="159" s="1"/>
  <c r="AL19" i="159" s="1"/>
  <c r="Q22" i="159"/>
  <c r="N89" i="159"/>
  <c r="J4" i="159" s="1"/>
  <c r="AD23" i="159"/>
  <c r="Z27" i="159"/>
  <c r="X30" i="159"/>
  <c r="AO4" i="159" s="1"/>
  <c r="T45" i="159"/>
  <c r="U38" i="159"/>
  <c r="AG38" i="159"/>
  <c r="Z40" i="159"/>
  <c r="AD40" i="159" s="1"/>
  <c r="AL40" i="159" s="1"/>
  <c r="X57" i="159"/>
  <c r="Z54" i="159"/>
  <c r="AD54" i="159" s="1"/>
  <c r="AL54" i="159" s="1"/>
  <c r="O70" i="159"/>
  <c r="Q65" i="159"/>
  <c r="AL68" i="159"/>
  <c r="AD76" i="159"/>
  <c r="Q88" i="159"/>
  <c r="Z87" i="159"/>
  <c r="X90" i="159"/>
  <c r="X9" i="159"/>
  <c r="AD7" i="159"/>
  <c r="Q8" i="159"/>
  <c r="AA9" i="159"/>
  <c r="V91" i="159"/>
  <c r="Z18" i="159"/>
  <c r="Q20" i="159"/>
  <c r="Q21" i="159"/>
  <c r="P36" i="159"/>
  <c r="Q29" i="159"/>
  <c r="U33" i="159"/>
  <c r="X33" i="159" s="1"/>
  <c r="Z35" i="159"/>
  <c r="AD35" i="159" s="1"/>
  <c r="X51" i="159"/>
  <c r="Z49" i="159"/>
  <c r="AD49" i="159" s="1"/>
  <c r="AL49" i="159" s="1"/>
  <c r="AE90" i="159"/>
  <c r="AE93" i="159"/>
  <c r="N91" i="159"/>
  <c r="AL28" i="159"/>
  <c r="AG40" i="159"/>
  <c r="AL42" i="159"/>
  <c r="P51" i="159"/>
  <c r="Q47" i="159"/>
  <c r="Z48" i="159"/>
  <c r="AD48" i="159" s="1"/>
  <c r="AL48" i="159" s="1"/>
  <c r="Z50" i="159"/>
  <c r="AD50" i="159" s="1"/>
  <c r="Z67" i="159"/>
  <c r="AD67" i="159" s="1"/>
  <c r="AL67" i="159" s="1"/>
  <c r="AK68" i="159"/>
  <c r="AL84" i="159"/>
  <c r="AF84" i="159"/>
  <c r="AH84" i="159" s="1"/>
  <c r="AK106" i="159"/>
  <c r="AH106" i="159"/>
  <c r="Q91" i="159"/>
  <c r="O89" i="159"/>
  <c r="AB89" i="159"/>
  <c r="P25" i="159"/>
  <c r="Q24" i="159"/>
  <c r="T36" i="159"/>
  <c r="AG30" i="159"/>
  <c r="P45" i="159"/>
  <c r="Q38" i="159"/>
  <c r="Z41" i="159"/>
  <c r="AD41" i="159" s="1"/>
  <c r="AL41" i="159" s="1"/>
  <c r="Z43" i="159"/>
  <c r="AD43" i="159" s="1"/>
  <c r="AL43" i="159" s="1"/>
  <c r="AK44" i="159"/>
  <c r="AF44" i="159"/>
  <c r="Z66" i="159"/>
  <c r="AD66" i="159" s="1"/>
  <c r="AL66" i="159" s="1"/>
  <c r="AF72" i="159"/>
  <c r="AF74" i="159" s="1"/>
  <c r="AK72" i="159"/>
  <c r="AD74" i="159"/>
  <c r="AK74" i="159" s="1"/>
  <c r="AL72" i="159"/>
  <c r="Z77" i="159"/>
  <c r="AL77" i="159"/>
  <c r="AB124" i="159"/>
  <c r="AB127" i="159" s="1"/>
  <c r="S89" i="159"/>
  <c r="S96" i="159" s="1"/>
  <c r="W89" i="159"/>
  <c r="W92" i="159" s="1"/>
  <c r="AA89" i="159"/>
  <c r="AE89" i="159"/>
  <c r="Z53" i="159"/>
  <c r="AL59" i="159"/>
  <c r="Q62" i="159"/>
  <c r="P63" i="159"/>
  <c r="Z69" i="159"/>
  <c r="AD69" i="159" s="1"/>
  <c r="AL69" i="159" s="1"/>
  <c r="U57" i="159"/>
  <c r="Z55" i="159"/>
  <c r="AD55" i="159" s="1"/>
  <c r="Q56" i="159"/>
  <c r="T57" i="159"/>
  <c r="V59" i="159"/>
  <c r="Z59" i="159" s="1"/>
  <c r="Z60" i="159"/>
  <c r="AR60" i="159"/>
  <c r="AV60" i="159" s="1"/>
  <c r="Y70" i="159"/>
  <c r="Y89" i="159" s="1"/>
  <c r="AG67" i="159"/>
  <c r="AG70" i="159" s="1"/>
  <c r="AL73" i="159"/>
  <c r="Z74" i="159"/>
  <c r="AL76" i="159"/>
  <c r="Q80" i="159"/>
  <c r="Y91" i="159"/>
  <c r="Z102" i="159"/>
  <c r="S91" i="159"/>
  <c r="X63" i="159"/>
  <c r="AR59" i="159"/>
  <c r="AC74" i="159"/>
  <c r="AC80" i="159"/>
  <c r="Q85" i="159"/>
  <c r="Q99" i="159"/>
  <c r="AD101" i="159"/>
  <c r="V109" i="159"/>
  <c r="AF104" i="159"/>
  <c r="AE124" i="159"/>
  <c r="Z78" i="159"/>
  <c r="AD78" i="159" s="1"/>
  <c r="AL78" i="159" s="1"/>
  <c r="U79" i="159"/>
  <c r="X109" i="159"/>
  <c r="AC126" i="159"/>
  <c r="A147" i="162" l="1"/>
  <c r="R146" i="162"/>
  <c r="T146" i="162"/>
  <c r="V146" i="162"/>
  <c r="X146" i="162"/>
  <c r="AC146" i="162"/>
  <c r="AE146" i="162"/>
  <c r="AG146" i="162"/>
  <c r="S146" i="162"/>
  <c r="W146" i="162"/>
  <c r="AD146" i="162"/>
  <c r="U146" i="162"/>
  <c r="AA146" i="162"/>
  <c r="AF146" i="162"/>
  <c r="AB146" i="162"/>
  <c r="A117" i="162"/>
  <c r="S116" i="162"/>
  <c r="U116" i="162"/>
  <c r="W116" i="162"/>
  <c r="AA116" i="162"/>
  <c r="AD116" i="162"/>
  <c r="AF116" i="162"/>
  <c r="R116" i="162"/>
  <c r="V116" i="162"/>
  <c r="AC116" i="162"/>
  <c r="AG116" i="162"/>
  <c r="AB116" i="162"/>
  <c r="T116" i="162"/>
  <c r="X116" i="162"/>
  <c r="AE116" i="162"/>
  <c r="A51" i="162"/>
  <c r="AG50" i="162"/>
  <c r="AE50" i="162"/>
  <c r="AC50" i="162"/>
  <c r="AA50" i="162"/>
  <c r="Y50" i="162"/>
  <c r="W50" i="162"/>
  <c r="U50" i="162"/>
  <c r="S50" i="162"/>
  <c r="AF50" i="162"/>
  <c r="AD50" i="162"/>
  <c r="AB50" i="162"/>
  <c r="Z50" i="162"/>
  <c r="X50" i="162"/>
  <c r="V50" i="162"/>
  <c r="T50" i="162"/>
  <c r="R50" i="162"/>
  <c r="Z13" i="159"/>
  <c r="AH104" i="159"/>
  <c r="AF109" i="159"/>
  <c r="X36" i="159"/>
  <c r="Z30" i="159"/>
  <c r="AD30" i="159" s="1"/>
  <c r="AK30" i="159" s="1"/>
  <c r="AH107" i="159"/>
  <c r="AL107" i="159"/>
  <c r="AK83" i="159"/>
  <c r="AL83" i="159"/>
  <c r="N96" i="159"/>
  <c r="Z85" i="159"/>
  <c r="AH85" i="159" s="1"/>
  <c r="AC127" i="159"/>
  <c r="AF32" i="159"/>
  <c r="AH32" i="159" s="1"/>
  <c r="O92" i="159"/>
  <c r="U36" i="159"/>
  <c r="Q95" i="159"/>
  <c r="V92" i="159"/>
  <c r="V93" i="159" s="1"/>
  <c r="W96" i="159"/>
  <c r="AK39" i="159"/>
  <c r="AL39" i="159"/>
  <c r="AL31" i="159"/>
  <c r="AK31" i="159"/>
  <c r="Z33" i="159"/>
  <c r="AD33" i="159" s="1"/>
  <c r="AK33" i="159" s="1"/>
  <c r="T89" i="159"/>
  <c r="AG89" i="159" s="1"/>
  <c r="AL32" i="159"/>
  <c r="P96" i="159"/>
  <c r="AF10" i="159"/>
  <c r="AF13" i="159" s="1"/>
  <c r="AF91" i="159" s="1"/>
  <c r="AK10" i="159"/>
  <c r="Y92" i="159"/>
  <c r="Y96" i="159"/>
  <c r="X79" i="159"/>
  <c r="U80" i="159"/>
  <c r="AF50" i="159"/>
  <c r="AK50" i="159"/>
  <c r="Z21" i="159"/>
  <c r="AD21" i="159" s="1"/>
  <c r="Z91" i="159"/>
  <c r="AD87" i="159"/>
  <c r="Z88" i="159"/>
  <c r="U45" i="159"/>
  <c r="X38" i="159"/>
  <c r="X45" i="159" s="1"/>
  <c r="AD27" i="159"/>
  <c r="Z8" i="159"/>
  <c r="AD91" i="159"/>
  <c r="AK91" i="159" s="1"/>
  <c r="AK13" i="159"/>
  <c r="AD85" i="159"/>
  <c r="AK85" i="159" s="1"/>
  <c r="AF82" i="159"/>
  <c r="AK82" i="159"/>
  <c r="O96" i="159"/>
  <c r="AK102" i="159"/>
  <c r="AF102" i="159"/>
  <c r="AH102" i="159" s="1"/>
  <c r="AL102" i="159"/>
  <c r="AF69" i="159"/>
  <c r="AH69" i="159" s="1"/>
  <c r="AK69" i="159"/>
  <c r="AL62" i="159"/>
  <c r="V62" i="159"/>
  <c r="V63" i="159" s="1"/>
  <c r="AR62" i="159"/>
  <c r="AV62" i="159" s="1"/>
  <c r="AA96" i="159"/>
  <c r="AA92" i="159"/>
  <c r="AF66" i="159"/>
  <c r="AH66" i="159" s="1"/>
  <c r="AK66" i="159"/>
  <c r="Q45" i="159"/>
  <c r="Z95" i="159"/>
  <c r="AF30" i="159"/>
  <c r="AH30" i="159" s="1"/>
  <c r="AL30" i="159"/>
  <c r="Z20" i="159"/>
  <c r="AD20" i="159" s="1"/>
  <c r="AL20" i="159" s="1"/>
  <c r="Q90" i="159"/>
  <c r="Q9" i="159"/>
  <c r="Q70" i="159"/>
  <c r="Z65" i="159"/>
  <c r="AF40" i="159"/>
  <c r="AH40" i="159" s="1"/>
  <c r="AK40" i="159"/>
  <c r="N92" i="159"/>
  <c r="J3" i="159"/>
  <c r="AC89" i="159"/>
  <c r="AC92" i="159" s="1"/>
  <c r="AC114" i="159" s="1"/>
  <c r="AD8" i="159"/>
  <c r="AF6" i="159"/>
  <c r="AK6" i="159"/>
  <c r="AV59" i="159"/>
  <c r="AB96" i="159"/>
  <c r="AB92" i="159"/>
  <c r="AK104" i="159"/>
  <c r="AD126" i="159"/>
  <c r="AL55" i="159"/>
  <c r="AF55" i="159"/>
  <c r="AH55" i="159" s="1"/>
  <c r="AK55" i="159"/>
  <c r="AE96" i="159"/>
  <c r="AE92" i="159"/>
  <c r="AE114" i="159" s="1"/>
  <c r="AF78" i="159"/>
  <c r="AH78" i="159" s="1"/>
  <c r="AK78" i="159"/>
  <c r="AF101" i="159"/>
  <c r="AK101" i="159"/>
  <c r="AL101" i="159"/>
  <c r="Z118" i="159"/>
  <c r="AD53" i="159"/>
  <c r="AF43" i="159"/>
  <c r="AH43" i="159" s="1"/>
  <c r="AK43" i="159"/>
  <c r="Z24" i="159"/>
  <c r="Q25" i="159"/>
  <c r="AK67" i="159"/>
  <c r="AF67" i="159"/>
  <c r="AH67" i="159" s="1"/>
  <c r="AF48" i="159"/>
  <c r="AH48" i="159" s="1"/>
  <c r="AK48" i="159"/>
  <c r="AF35" i="159"/>
  <c r="AK35" i="159"/>
  <c r="Z29" i="159"/>
  <c r="AD29" i="159" s="1"/>
  <c r="AF7" i="159"/>
  <c r="AK7" i="159"/>
  <c r="AF23" i="159"/>
  <c r="AK23" i="159"/>
  <c r="AL23" i="159"/>
  <c r="AL35" i="159"/>
  <c r="AE127" i="159"/>
  <c r="AL74" i="159"/>
  <c r="Z56" i="159"/>
  <c r="AD56" i="159" s="1"/>
  <c r="AL56" i="159" s="1"/>
  <c r="Q63" i="159"/>
  <c r="AL63" i="159" s="1"/>
  <c r="Q57" i="159"/>
  <c r="S92" i="159"/>
  <c r="AK41" i="159"/>
  <c r="AF41" i="159"/>
  <c r="Q36" i="159"/>
  <c r="AL50" i="159"/>
  <c r="Q51" i="159"/>
  <c r="Z47" i="159"/>
  <c r="AF49" i="159"/>
  <c r="AH49" i="159" s="1"/>
  <c r="AK49" i="159"/>
  <c r="AD18" i="159"/>
  <c r="AG91" i="159"/>
  <c r="AK76" i="159"/>
  <c r="AF76" i="159"/>
  <c r="AF54" i="159"/>
  <c r="AK54" i="159"/>
  <c r="AK19" i="159"/>
  <c r="AF19" i="159"/>
  <c r="AH31" i="159"/>
  <c r="AL7" i="159"/>
  <c r="A118" i="162" l="1"/>
  <c r="R117" i="162"/>
  <c r="T117" i="162"/>
  <c r="V117" i="162"/>
  <c r="X117" i="162"/>
  <c r="AC117" i="162"/>
  <c r="AE117" i="162"/>
  <c r="AG117" i="162"/>
  <c r="U117" i="162"/>
  <c r="AA117" i="162"/>
  <c r="AF117" i="162"/>
  <c r="S117" i="162"/>
  <c r="W117" i="162"/>
  <c r="AD117" i="162"/>
  <c r="AB117" i="162"/>
  <c r="A148" i="162"/>
  <c r="R147" i="162"/>
  <c r="T147" i="162"/>
  <c r="V147" i="162"/>
  <c r="X147" i="162"/>
  <c r="AC147" i="162"/>
  <c r="AE147" i="162"/>
  <c r="AG147" i="162"/>
  <c r="S147" i="162"/>
  <c r="W147" i="162"/>
  <c r="AD147" i="162"/>
  <c r="U147" i="162"/>
  <c r="AA147" i="162"/>
  <c r="AF147" i="162"/>
  <c r="AB147" i="162"/>
  <c r="A52" i="162"/>
  <c r="R51" i="162"/>
  <c r="T51" i="162"/>
  <c r="V51" i="162"/>
  <c r="X51" i="162"/>
  <c r="AB51" i="162"/>
  <c r="AD51" i="162"/>
  <c r="AF51" i="162"/>
  <c r="S51" i="162"/>
  <c r="U51" i="162"/>
  <c r="W51" i="162"/>
  <c r="AA51" i="162"/>
  <c r="AC51" i="162"/>
  <c r="AE51" i="162"/>
  <c r="AG51" i="162"/>
  <c r="AQ32" i="159"/>
  <c r="AR63" i="159"/>
  <c r="AV63" i="159" s="1"/>
  <c r="AG92" i="159"/>
  <c r="Z22" i="159"/>
  <c r="U89" i="159"/>
  <c r="U92" i="159" s="1"/>
  <c r="AL85" i="159"/>
  <c r="T92" i="159"/>
  <c r="Z62" i="159"/>
  <c r="Z63" i="159" s="1"/>
  <c r="AF33" i="159"/>
  <c r="AH33" i="159" s="1"/>
  <c r="U93" i="159"/>
  <c r="AL33" i="159"/>
  <c r="T96" i="159"/>
  <c r="Q93" i="159"/>
  <c r="P92" i="159"/>
  <c r="P95" i="159" s="1"/>
  <c r="AL91" i="159"/>
  <c r="AD57" i="159"/>
  <c r="AK57" i="159" s="1"/>
  <c r="AF53" i="159"/>
  <c r="AK53" i="159"/>
  <c r="AL53" i="159"/>
  <c r="AF126" i="159"/>
  <c r="AD90" i="159"/>
  <c r="AK90" i="159" s="1"/>
  <c r="AD9" i="159"/>
  <c r="AK9" i="159" s="1"/>
  <c r="AK8" i="159"/>
  <c r="Q89" i="159"/>
  <c r="AQ23" i="159"/>
  <c r="AD24" i="159"/>
  <c r="Z25" i="159"/>
  <c r="Z57" i="159"/>
  <c r="AH57" i="159" s="1"/>
  <c r="AE116" i="159"/>
  <c r="AE122" i="159"/>
  <c r="AB114" i="159"/>
  <c r="AC116" i="159"/>
  <c r="AC122" i="159"/>
  <c r="Z94" i="159"/>
  <c r="AF85" i="159"/>
  <c r="AH82" i="159"/>
  <c r="Z90" i="159"/>
  <c r="AD94" i="159" s="1"/>
  <c r="AK94" i="159" s="1"/>
  <c r="Z9" i="159"/>
  <c r="AD95" i="159"/>
  <c r="AE95" i="159"/>
  <c r="AH50" i="159"/>
  <c r="AK29" i="159"/>
  <c r="AF29" i="159"/>
  <c r="AH29" i="159" s="1"/>
  <c r="AV64" i="159"/>
  <c r="AW59" i="159"/>
  <c r="Z51" i="159"/>
  <c r="AH51" i="159" s="1"/>
  <c r="AD47" i="159"/>
  <c r="AK109" i="159"/>
  <c r="AD115" i="159"/>
  <c r="AF110" i="159"/>
  <c r="AL109" i="159"/>
  <c r="AL115" i="159" s="1"/>
  <c r="AL116" i="159" s="1"/>
  <c r="AC93" i="159"/>
  <c r="AA114" i="159"/>
  <c r="AC110" i="159"/>
  <c r="Z115" i="159"/>
  <c r="AD110" i="159"/>
  <c r="AD36" i="159"/>
  <c r="AK36" i="159" s="1"/>
  <c r="AK27" i="159"/>
  <c r="AF27" i="159"/>
  <c r="AL27" i="159"/>
  <c r="AK21" i="159"/>
  <c r="AF21" i="159"/>
  <c r="AF18" i="159"/>
  <c r="AD22" i="159"/>
  <c r="AK18" i="159"/>
  <c r="AL18" i="159"/>
  <c r="AK56" i="159"/>
  <c r="AF56" i="159"/>
  <c r="AH56" i="159" s="1"/>
  <c r="AL29" i="159"/>
  <c r="AH101" i="159"/>
  <c r="AF111" i="159"/>
  <c r="AF8" i="159"/>
  <c r="AH6" i="159"/>
  <c r="Z70" i="159"/>
  <c r="AH70" i="159" s="1"/>
  <c r="AD65" i="159"/>
  <c r="AL8" i="159"/>
  <c r="AK20" i="159"/>
  <c r="AH20" i="159"/>
  <c r="Z38" i="159"/>
  <c r="Z36" i="159"/>
  <c r="AH36" i="159" s="1"/>
  <c r="AF87" i="159"/>
  <c r="AK87" i="159"/>
  <c r="AD88" i="159"/>
  <c r="AL88" i="159" s="1"/>
  <c r="AL87" i="159"/>
  <c r="AL21" i="159"/>
  <c r="Z79" i="159"/>
  <c r="X80" i="159"/>
  <c r="X89" i="159" s="1"/>
  <c r="A149" i="162" l="1"/>
  <c r="S148" i="162"/>
  <c r="U148" i="162"/>
  <c r="W148" i="162"/>
  <c r="AA148" i="162"/>
  <c r="AD148" i="162"/>
  <c r="AF148" i="162"/>
  <c r="R148" i="162"/>
  <c r="V148" i="162"/>
  <c r="AC148" i="162"/>
  <c r="AG148" i="162"/>
  <c r="T148" i="162"/>
  <c r="X148" i="162"/>
  <c r="AE148" i="162"/>
  <c r="AB148" i="162"/>
  <c r="A119" i="162"/>
  <c r="S118" i="162"/>
  <c r="U118" i="162"/>
  <c r="W118" i="162"/>
  <c r="AA118" i="162"/>
  <c r="AD118" i="162"/>
  <c r="AF118" i="162"/>
  <c r="R118" i="162"/>
  <c r="V118" i="162"/>
  <c r="AC118" i="162"/>
  <c r="AG118" i="162"/>
  <c r="T118" i="162"/>
  <c r="X118" i="162"/>
  <c r="AE118" i="162"/>
  <c r="AB118" i="162"/>
  <c r="A53" i="162"/>
  <c r="R52" i="162"/>
  <c r="T52" i="162"/>
  <c r="V52" i="162"/>
  <c r="X52" i="162"/>
  <c r="AB52" i="162"/>
  <c r="AD52" i="162"/>
  <c r="AF52" i="162"/>
  <c r="S52" i="162"/>
  <c r="U52" i="162"/>
  <c r="W52" i="162"/>
  <c r="AA52" i="162"/>
  <c r="AC52" i="162"/>
  <c r="AE52" i="162"/>
  <c r="AG52" i="162"/>
  <c r="AA116" i="159"/>
  <c r="U96" i="159"/>
  <c r="Z93" i="159"/>
  <c r="AL57" i="159"/>
  <c r="AF57" i="159"/>
  <c r="AF22" i="159"/>
  <c r="AL90" i="159"/>
  <c r="AL9" i="159"/>
  <c r="X92" i="159"/>
  <c r="X96" i="159"/>
  <c r="AD38" i="159"/>
  <c r="Z45" i="159"/>
  <c r="AH45" i="159" s="1"/>
  <c r="AD124" i="159"/>
  <c r="AD127" i="159" s="1"/>
  <c r="AF118" i="159"/>
  <c r="Q92" i="159"/>
  <c r="Q96" i="159"/>
  <c r="AD79" i="159"/>
  <c r="Z80" i="159"/>
  <c r="AH80" i="159" s="1"/>
  <c r="AK95" i="159"/>
  <c r="AF88" i="159"/>
  <c r="AD51" i="159"/>
  <c r="AK47" i="159"/>
  <c r="AF47" i="159"/>
  <c r="AL47" i="159"/>
  <c r="AL36" i="159"/>
  <c r="AF65" i="159"/>
  <c r="AD70" i="159"/>
  <c r="AK65" i="159"/>
  <c r="AL65" i="159"/>
  <c r="AH22" i="159"/>
  <c r="AF36" i="159"/>
  <c r="AQ96" i="159"/>
  <c r="AR96" i="159" s="1"/>
  <c r="AH27" i="159"/>
  <c r="AF24" i="159"/>
  <c r="AF25" i="159" s="1"/>
  <c r="AK24" i="159"/>
  <c r="AD25" i="159"/>
  <c r="AL24" i="159"/>
  <c r="AF9" i="159"/>
  <c r="AH9" i="159" s="1"/>
  <c r="AF90" i="159"/>
  <c r="AH90" i="159" s="1"/>
  <c r="AH8" i="159"/>
  <c r="AF115" i="159"/>
  <c r="AH109" i="159"/>
  <c r="AK22" i="159"/>
  <c r="AL22" i="159"/>
  <c r="AB122" i="159"/>
  <c r="AB116" i="159"/>
  <c r="A120" i="162" l="1"/>
  <c r="R119" i="162"/>
  <c r="T119" i="162"/>
  <c r="V119" i="162"/>
  <c r="X119" i="162"/>
  <c r="AC119" i="162"/>
  <c r="AE119" i="162"/>
  <c r="AG119" i="162"/>
  <c r="U119" i="162"/>
  <c r="AA119" i="162"/>
  <c r="AF119" i="162"/>
  <c r="S119" i="162"/>
  <c r="W119" i="162"/>
  <c r="AD119" i="162"/>
  <c r="AB119" i="162"/>
  <c r="A150" i="162"/>
  <c r="R149" i="162"/>
  <c r="T149" i="162"/>
  <c r="V149" i="162"/>
  <c r="X149" i="162"/>
  <c r="AC149" i="162"/>
  <c r="AE149" i="162"/>
  <c r="AG149" i="162"/>
  <c r="U149" i="162"/>
  <c r="AA149" i="162"/>
  <c r="AF149" i="162"/>
  <c r="S149" i="162"/>
  <c r="W149" i="162"/>
  <c r="AD149" i="162"/>
  <c r="AB149" i="162"/>
  <c r="A54" i="162"/>
  <c r="AQ4" i="159"/>
  <c r="AR4" i="159" s="1"/>
  <c r="AF79" i="159"/>
  <c r="AF80" i="159" s="1"/>
  <c r="AL79" i="159"/>
  <c r="AK79" i="159"/>
  <c r="AD80" i="159"/>
  <c r="AK80" i="159" s="1"/>
  <c r="AK38" i="159"/>
  <c r="AD45" i="159"/>
  <c r="AF38" i="159"/>
  <c r="AL38" i="159"/>
  <c r="AK25" i="159"/>
  <c r="AL25" i="159"/>
  <c r="AH65" i="159"/>
  <c r="AF70" i="159"/>
  <c r="AF51" i="159"/>
  <c r="AH47" i="159"/>
  <c r="Z89" i="159"/>
  <c r="AK70" i="159"/>
  <c r="AL70" i="159"/>
  <c r="AF124" i="159"/>
  <c r="AD121" i="159"/>
  <c r="AG115" i="159"/>
  <c r="AC118" i="159"/>
  <c r="AE118" i="159"/>
  <c r="AK51" i="159"/>
  <c r="AL51" i="159"/>
  <c r="A151" i="162" l="1"/>
  <c r="S150" i="162"/>
  <c r="U150" i="162"/>
  <c r="W150" i="162"/>
  <c r="AA150" i="162"/>
  <c r="AD150" i="162"/>
  <c r="AF150" i="162"/>
  <c r="T150" i="162"/>
  <c r="X150" i="162"/>
  <c r="AE150" i="162"/>
  <c r="R150" i="162"/>
  <c r="V150" i="162"/>
  <c r="AC150" i="162"/>
  <c r="AG150" i="162"/>
  <c r="AB150" i="162"/>
  <c r="A121" i="162"/>
  <c r="S120" i="162"/>
  <c r="U120" i="162"/>
  <c r="W120" i="162"/>
  <c r="AA120" i="162"/>
  <c r="AD120" i="162"/>
  <c r="AF120" i="162"/>
  <c r="T120" i="162"/>
  <c r="X120" i="162"/>
  <c r="AE120" i="162"/>
  <c r="AB120" i="162"/>
  <c r="R120" i="162"/>
  <c r="V120" i="162"/>
  <c r="AC120" i="162"/>
  <c r="AG120" i="162"/>
  <c r="A55" i="162"/>
  <c r="AG54" i="162"/>
  <c r="AE54" i="162"/>
  <c r="AC54" i="162"/>
  <c r="AA54" i="162"/>
  <c r="Y54" i="162"/>
  <c r="W54" i="162"/>
  <c r="U54" i="162"/>
  <c r="S54" i="162"/>
  <c r="AF54" i="162"/>
  <c r="AD54" i="162"/>
  <c r="AB54" i="162"/>
  <c r="Z54" i="162"/>
  <c r="X54" i="162"/>
  <c r="V54" i="162"/>
  <c r="T54" i="162"/>
  <c r="R54" i="162"/>
  <c r="AQ2" i="159"/>
  <c r="AF45" i="159"/>
  <c r="AF89" i="159" s="1"/>
  <c r="AH38" i="159"/>
  <c r="Z92" i="159"/>
  <c r="Z114" i="159" s="1"/>
  <c r="Z116" i="159" s="1"/>
  <c r="AD118" i="159" s="1"/>
  <c r="AD93" i="159"/>
  <c r="AK93" i="159" s="1"/>
  <c r="Z96" i="159"/>
  <c r="AD96" i="159" s="1"/>
  <c r="AK45" i="159"/>
  <c r="AL45" i="159"/>
  <c r="AD89" i="159"/>
  <c r="AF127" i="159"/>
  <c r="AE125" i="159"/>
  <c r="A122" i="162" l="1"/>
  <c r="R121" i="162"/>
  <c r="T121" i="162"/>
  <c r="V121" i="162"/>
  <c r="X121" i="162"/>
  <c r="AC121" i="162"/>
  <c r="AE121" i="162"/>
  <c r="AG121" i="162"/>
  <c r="S121" i="162"/>
  <c r="W121" i="162"/>
  <c r="AD121" i="162"/>
  <c r="AB121" i="162"/>
  <c r="U121" i="162"/>
  <c r="AA121" i="162"/>
  <c r="AF121" i="162"/>
  <c r="A152" i="162"/>
  <c r="R151" i="162"/>
  <c r="T151" i="162"/>
  <c r="V151" i="162"/>
  <c r="X151" i="162"/>
  <c r="AC151" i="162"/>
  <c r="AE151" i="162"/>
  <c r="AG151" i="162"/>
  <c r="S151" i="162"/>
  <c r="W151" i="162"/>
  <c r="AD151" i="162"/>
  <c r="U151" i="162"/>
  <c r="AA151" i="162"/>
  <c r="AF151" i="162"/>
  <c r="AB151" i="162"/>
  <c r="A56" i="162"/>
  <c r="AG55" i="162"/>
  <c r="AE55" i="162"/>
  <c r="AC55" i="162"/>
  <c r="AA55" i="162"/>
  <c r="Y55" i="162"/>
  <c r="W55" i="162"/>
  <c r="U55" i="162"/>
  <c r="S55" i="162"/>
  <c r="AF55" i="162"/>
  <c r="AD55" i="162"/>
  <c r="AB55" i="162"/>
  <c r="Z55" i="162"/>
  <c r="X55" i="162"/>
  <c r="V55" i="162"/>
  <c r="T55" i="162"/>
  <c r="R55" i="162"/>
  <c r="AK89" i="159"/>
  <c r="AD92" i="159"/>
  <c r="AL89" i="159"/>
  <c r="AK96" i="159"/>
  <c r="AL96" i="159"/>
  <c r="AH89" i="159"/>
  <c r="AF96" i="159"/>
  <c r="AH96" i="159" s="1"/>
  <c r="A153" i="162" l="1"/>
  <c r="S152" i="162"/>
  <c r="U152" i="162"/>
  <c r="W152" i="162"/>
  <c r="AA152" i="162"/>
  <c r="AD152" i="162"/>
  <c r="AF152" i="162"/>
  <c r="R152" i="162"/>
  <c r="V152" i="162"/>
  <c r="AC152" i="162"/>
  <c r="AG152" i="162"/>
  <c r="T152" i="162"/>
  <c r="X152" i="162"/>
  <c r="AE152" i="162"/>
  <c r="AB152" i="162"/>
  <c r="A123" i="162"/>
  <c r="S122" i="162"/>
  <c r="U122" i="162"/>
  <c r="W122" i="162"/>
  <c r="AA122" i="162"/>
  <c r="AD122" i="162"/>
  <c r="AF122" i="162"/>
  <c r="R122" i="162"/>
  <c r="V122" i="162"/>
  <c r="AC122" i="162"/>
  <c r="AG122" i="162"/>
  <c r="AB122" i="162"/>
  <c r="T122" i="162"/>
  <c r="X122" i="162"/>
  <c r="AE122" i="162"/>
  <c r="A57" i="162"/>
  <c r="AG56" i="162"/>
  <c r="AE56" i="162"/>
  <c r="AC56" i="162"/>
  <c r="AA56" i="162"/>
  <c r="Y56" i="162"/>
  <c r="W56" i="162"/>
  <c r="U56" i="162"/>
  <c r="S56" i="162"/>
  <c r="AF56" i="162"/>
  <c r="AD56" i="162"/>
  <c r="AB56" i="162"/>
  <c r="Z56" i="162"/>
  <c r="X56" i="162"/>
  <c r="V56" i="162"/>
  <c r="T56" i="162"/>
  <c r="R56" i="162"/>
  <c r="AD114" i="159"/>
  <c r="AK92" i="159"/>
  <c r="AF92" i="159"/>
  <c r="AL92" i="159"/>
  <c r="A124" i="162" l="1"/>
  <c r="S123" i="162"/>
  <c r="U123" i="162"/>
  <c r="W123" i="162"/>
  <c r="AA123" i="162"/>
  <c r="AD123" i="162"/>
  <c r="AF123" i="162"/>
  <c r="T123" i="162"/>
  <c r="X123" i="162"/>
  <c r="AE123" i="162"/>
  <c r="AB123" i="162"/>
  <c r="R123" i="162"/>
  <c r="V123" i="162"/>
  <c r="AC123" i="162"/>
  <c r="AG123" i="162"/>
  <c r="A154" i="162"/>
  <c r="R153" i="162"/>
  <c r="T153" i="162"/>
  <c r="V153" i="162"/>
  <c r="X153" i="162"/>
  <c r="AC153" i="162"/>
  <c r="AE153" i="162"/>
  <c r="AG153" i="162"/>
  <c r="U153" i="162"/>
  <c r="AA153" i="162"/>
  <c r="AF153" i="162"/>
  <c r="S153" i="162"/>
  <c r="W153" i="162"/>
  <c r="AD153" i="162"/>
  <c r="AB153" i="162"/>
  <c r="A58" i="162"/>
  <c r="AG57" i="162"/>
  <c r="AE57" i="162"/>
  <c r="AC57" i="162"/>
  <c r="AA57" i="162"/>
  <c r="Y57" i="162"/>
  <c r="W57" i="162"/>
  <c r="U57" i="162"/>
  <c r="S57" i="162"/>
  <c r="AF57" i="162"/>
  <c r="AD57" i="162"/>
  <c r="AB57" i="162"/>
  <c r="Z57" i="162"/>
  <c r="X57" i="162"/>
  <c r="V57" i="162"/>
  <c r="T57" i="162"/>
  <c r="R57" i="162"/>
  <c r="AF114" i="159"/>
  <c r="AH92" i="159"/>
  <c r="AD122" i="159"/>
  <c r="AF119" i="159"/>
  <c r="AD116" i="159"/>
  <c r="A155" i="162" l="1"/>
  <c r="R154" i="162"/>
  <c r="T154" i="162"/>
  <c r="V154" i="162"/>
  <c r="X154" i="162"/>
  <c r="AC154" i="162"/>
  <c r="AE154" i="162"/>
  <c r="AG154" i="162"/>
  <c r="U154" i="162"/>
  <c r="AA154" i="162"/>
  <c r="AF154" i="162"/>
  <c r="S154" i="162"/>
  <c r="W154" i="162"/>
  <c r="AD154" i="162"/>
  <c r="AB154" i="162"/>
  <c r="A125" i="162"/>
  <c r="R124" i="162"/>
  <c r="T124" i="162"/>
  <c r="V124" i="162"/>
  <c r="X124" i="162"/>
  <c r="AC124" i="162"/>
  <c r="AE124" i="162"/>
  <c r="AG124" i="162"/>
  <c r="S124" i="162"/>
  <c r="W124" i="162"/>
  <c r="AD124" i="162"/>
  <c r="AB124" i="162"/>
  <c r="U124" i="162"/>
  <c r="AA124" i="162"/>
  <c r="AF124" i="162"/>
  <c r="A59" i="162"/>
  <c r="AG58" i="162"/>
  <c r="AE58" i="162"/>
  <c r="AC58" i="162"/>
  <c r="AA58" i="162"/>
  <c r="Y58" i="162"/>
  <c r="W58" i="162"/>
  <c r="U58" i="162"/>
  <c r="S58" i="162"/>
  <c r="AF58" i="162"/>
  <c r="AD58" i="162"/>
  <c r="AB58" i="162"/>
  <c r="Z58" i="162"/>
  <c r="X58" i="162"/>
  <c r="V58" i="162"/>
  <c r="T58" i="162"/>
  <c r="R58" i="162"/>
  <c r="AF120" i="159"/>
  <c r="AD120" i="159"/>
  <c r="AA121" i="159"/>
  <c r="AF122" i="159"/>
  <c r="AE123" i="159" s="1"/>
  <c r="AF116" i="159"/>
  <c r="AE121" i="159"/>
  <c r="AG114" i="159"/>
  <c r="S125" i="162" l="1"/>
  <c r="U125" i="162"/>
  <c r="W125" i="162"/>
  <c r="AA125" i="162"/>
  <c r="AD125" i="162"/>
  <c r="AF125" i="162"/>
  <c r="R125" i="162"/>
  <c r="V125" i="162"/>
  <c r="AC125" i="162"/>
  <c r="AG125" i="162"/>
  <c r="AB125" i="162"/>
  <c r="T125" i="162"/>
  <c r="X125" i="162"/>
  <c r="AE125" i="162"/>
  <c r="A156" i="162"/>
  <c r="S155" i="162"/>
  <c r="U155" i="162"/>
  <c r="W155" i="162"/>
  <c r="AA155" i="162"/>
  <c r="AD155" i="162"/>
  <c r="AF155" i="162"/>
  <c r="T155" i="162"/>
  <c r="X155" i="162"/>
  <c r="AE155" i="162"/>
  <c r="R155" i="162"/>
  <c r="V155" i="162"/>
  <c r="AC155" i="162"/>
  <c r="AG155" i="162"/>
  <c r="AB155" i="162"/>
  <c r="A60" i="162"/>
  <c r="AG59" i="162"/>
  <c r="AE59" i="162"/>
  <c r="AC59" i="162"/>
  <c r="AA59" i="162"/>
  <c r="Y59" i="162"/>
  <c r="W59" i="162"/>
  <c r="U59" i="162"/>
  <c r="S59" i="162"/>
  <c r="AF59" i="162"/>
  <c r="AD59" i="162"/>
  <c r="AB59" i="162"/>
  <c r="Z59" i="162"/>
  <c r="X59" i="162"/>
  <c r="V59" i="162"/>
  <c r="T59" i="162"/>
  <c r="R59" i="162"/>
  <c r="AB121" i="159"/>
  <c r="AG116" i="159"/>
  <c r="AE120" i="159"/>
  <c r="A157" i="162" l="1"/>
  <c r="R156" i="162"/>
  <c r="T156" i="162"/>
  <c r="V156" i="162"/>
  <c r="X156" i="162"/>
  <c r="AC156" i="162"/>
  <c r="AE156" i="162"/>
  <c r="AG156" i="162"/>
  <c r="S156" i="162"/>
  <c r="W156" i="162"/>
  <c r="AD156" i="162"/>
  <c r="U156" i="162"/>
  <c r="AA156" i="162"/>
  <c r="AF156" i="162"/>
  <c r="AB156" i="162"/>
  <c r="A61" i="162"/>
  <c r="AG60" i="162"/>
  <c r="AE60" i="162"/>
  <c r="AC60" i="162"/>
  <c r="AA60" i="162"/>
  <c r="Y60" i="162"/>
  <c r="W60" i="162"/>
  <c r="U60" i="162"/>
  <c r="S60" i="162"/>
  <c r="AF60" i="162"/>
  <c r="AD60" i="162"/>
  <c r="AB60" i="162"/>
  <c r="Z60" i="162"/>
  <c r="X60" i="162"/>
  <c r="V60" i="162"/>
  <c r="T60" i="162"/>
  <c r="R60" i="162"/>
  <c r="AA18" i="158"/>
  <c r="Z18" i="158"/>
  <c r="Y18" i="158"/>
  <c r="X18" i="158"/>
  <c r="M18" i="158"/>
  <c r="L84" i="158"/>
  <c r="L83" i="158"/>
  <c r="L82" i="158"/>
  <c r="A21" i="158"/>
  <c r="A22" i="158" s="1"/>
  <c r="A23" i="158" s="1"/>
  <c r="A24" i="158" s="1"/>
  <c r="A25" i="158" s="1"/>
  <c r="A158" i="162" l="1"/>
  <c r="S157" i="162"/>
  <c r="U157" i="162"/>
  <c r="W157" i="162"/>
  <c r="AA157" i="162"/>
  <c r="AD157" i="162"/>
  <c r="AF157" i="162"/>
  <c r="R157" i="162"/>
  <c r="V157" i="162"/>
  <c r="AC157" i="162"/>
  <c r="AG157" i="162"/>
  <c r="T157" i="162"/>
  <c r="X157" i="162"/>
  <c r="AE157" i="162"/>
  <c r="AB157" i="162"/>
  <c r="A62" i="162"/>
  <c r="AG61" i="162"/>
  <c r="AE61" i="162"/>
  <c r="AC61" i="162"/>
  <c r="AA61" i="162"/>
  <c r="Y61" i="162"/>
  <c r="W61" i="162"/>
  <c r="U61" i="162"/>
  <c r="S61" i="162"/>
  <c r="AF61" i="162"/>
  <c r="AD61" i="162"/>
  <c r="AB61" i="162"/>
  <c r="Z61" i="162"/>
  <c r="X61" i="162"/>
  <c r="V61" i="162"/>
  <c r="T61" i="162"/>
  <c r="R61" i="162"/>
  <c r="L18" i="158"/>
  <c r="A159" i="162" l="1"/>
  <c r="R158" i="162"/>
  <c r="T158" i="162"/>
  <c r="V158" i="162"/>
  <c r="X158" i="162"/>
  <c r="AC158" i="162"/>
  <c r="AE158" i="162"/>
  <c r="AG158" i="162"/>
  <c r="U158" i="162"/>
  <c r="AA158" i="162"/>
  <c r="AF158" i="162"/>
  <c r="S158" i="162"/>
  <c r="W158" i="162"/>
  <c r="AD158" i="162"/>
  <c r="AB158" i="162"/>
  <c r="A63" i="162"/>
  <c r="AG62" i="162"/>
  <c r="AE62" i="162"/>
  <c r="AC62" i="162"/>
  <c r="AA62" i="162"/>
  <c r="Y62" i="162"/>
  <c r="W62" i="162"/>
  <c r="U62" i="162"/>
  <c r="S62" i="162"/>
  <c r="AF62" i="162"/>
  <c r="AD62" i="162"/>
  <c r="AB62" i="162"/>
  <c r="Z62" i="162"/>
  <c r="X62" i="162"/>
  <c r="V62" i="162"/>
  <c r="T62" i="162"/>
  <c r="R62" i="162"/>
  <c r="T9" i="142"/>
  <c r="T10" i="142" s="1"/>
  <c r="N9" i="142"/>
  <c r="N10" i="142" s="1"/>
  <c r="O9" i="142"/>
  <c r="A160" i="162" l="1"/>
  <c r="S159" i="162"/>
  <c r="U159" i="162"/>
  <c r="W159" i="162"/>
  <c r="AA159" i="162"/>
  <c r="AD159" i="162"/>
  <c r="AF159" i="162"/>
  <c r="T159" i="162"/>
  <c r="X159" i="162"/>
  <c r="AE159" i="162"/>
  <c r="R159" i="162"/>
  <c r="V159" i="162"/>
  <c r="AC159" i="162"/>
  <c r="AG159" i="162"/>
  <c r="AB159" i="162"/>
  <c r="A64" i="162"/>
  <c r="AG63" i="162"/>
  <c r="AE63" i="162"/>
  <c r="AC63" i="162"/>
  <c r="AA63" i="162"/>
  <c r="Y63" i="162"/>
  <c r="W63" i="162"/>
  <c r="U63" i="162"/>
  <c r="S63" i="162"/>
  <c r="AF63" i="162"/>
  <c r="AD63" i="162"/>
  <c r="AB63" i="162"/>
  <c r="Z63" i="162"/>
  <c r="X63" i="162"/>
  <c r="V63" i="162"/>
  <c r="T63" i="162"/>
  <c r="R63" i="162"/>
  <c r="O10" i="142"/>
  <c r="T11" i="142"/>
  <c r="R9" i="142"/>
  <c r="A161" i="162" l="1"/>
  <c r="S160" i="162"/>
  <c r="U160" i="162"/>
  <c r="W160" i="162"/>
  <c r="AA160" i="162"/>
  <c r="AD160" i="162"/>
  <c r="AF160" i="162"/>
  <c r="T160" i="162"/>
  <c r="X160" i="162"/>
  <c r="AE160" i="162"/>
  <c r="R160" i="162"/>
  <c r="V160" i="162"/>
  <c r="AC160" i="162"/>
  <c r="AG160" i="162"/>
  <c r="AB160" i="162"/>
  <c r="A65" i="162"/>
  <c r="AG64" i="162"/>
  <c r="AE64" i="162"/>
  <c r="AC64" i="162"/>
  <c r="AA64" i="162"/>
  <c r="Y64" i="162"/>
  <c r="W64" i="162"/>
  <c r="U64" i="162"/>
  <c r="S64" i="162"/>
  <c r="AF64" i="162"/>
  <c r="AD64" i="162"/>
  <c r="AB64" i="162"/>
  <c r="Z64" i="162"/>
  <c r="X64" i="162"/>
  <c r="V64" i="162"/>
  <c r="T64" i="162"/>
  <c r="R64" i="162"/>
  <c r="O11" i="142"/>
  <c r="R10" i="142"/>
  <c r="S9" i="142"/>
  <c r="N11" i="142"/>
  <c r="L7" i="126"/>
  <c r="Q7" i="126"/>
  <c r="L8" i="126"/>
  <c r="M8" i="126" s="1"/>
  <c r="Q8" i="126"/>
  <c r="K9" i="126"/>
  <c r="N9" i="126"/>
  <c r="O9" i="126"/>
  <c r="P9" i="126"/>
  <c r="L11" i="126"/>
  <c r="M11" i="126" s="1"/>
  <c r="Q11" i="126"/>
  <c r="L12" i="126"/>
  <c r="M12" i="126" s="1"/>
  <c r="Q12" i="126"/>
  <c r="L13" i="126"/>
  <c r="M13" i="126" s="1"/>
  <c r="Q13" i="126"/>
  <c r="L14" i="126"/>
  <c r="M14" i="126" s="1"/>
  <c r="Q14" i="126"/>
  <c r="L15" i="126"/>
  <c r="M15" i="126" s="1"/>
  <c r="Q15" i="126"/>
  <c r="L16" i="126"/>
  <c r="M16" i="126" s="1"/>
  <c r="Q16" i="126"/>
  <c r="K17" i="126"/>
  <c r="N17" i="126"/>
  <c r="O17" i="126"/>
  <c r="P17" i="126"/>
  <c r="L19" i="126"/>
  <c r="M19" i="126" s="1"/>
  <c r="Q19" i="126"/>
  <c r="L20" i="126"/>
  <c r="M20" i="126" s="1"/>
  <c r="Q20" i="126"/>
  <c r="L21" i="126"/>
  <c r="M21" i="126" s="1"/>
  <c r="Q21" i="126"/>
  <c r="L22" i="126"/>
  <c r="M22" i="126" s="1"/>
  <c r="Q22" i="126"/>
  <c r="L23" i="126"/>
  <c r="M23" i="126" s="1"/>
  <c r="Q23" i="126"/>
  <c r="L24" i="126"/>
  <c r="M24" i="126" s="1"/>
  <c r="Q24" i="126"/>
  <c r="L25" i="126"/>
  <c r="M25" i="126" s="1"/>
  <c r="Q25" i="126"/>
  <c r="K26" i="126"/>
  <c r="N26" i="126"/>
  <c r="O26" i="126"/>
  <c r="P26" i="126"/>
  <c r="L28" i="126"/>
  <c r="M28" i="126" s="1"/>
  <c r="Q28" i="126"/>
  <c r="L29" i="126"/>
  <c r="M29" i="126" s="1"/>
  <c r="Q29" i="126"/>
  <c r="L30" i="126"/>
  <c r="M30" i="126" s="1"/>
  <c r="Q30" i="126"/>
  <c r="L31" i="126"/>
  <c r="M31" i="126" s="1"/>
  <c r="Q31" i="126"/>
  <c r="K32" i="126"/>
  <c r="N32" i="126"/>
  <c r="O32" i="126"/>
  <c r="P32" i="126"/>
  <c r="L34" i="126"/>
  <c r="M34" i="126" s="1"/>
  <c r="Q34" i="126"/>
  <c r="L35" i="126"/>
  <c r="M35" i="126" s="1"/>
  <c r="Q35" i="126"/>
  <c r="L36" i="126"/>
  <c r="M36" i="126" s="1"/>
  <c r="Q36" i="126"/>
  <c r="L37" i="126"/>
  <c r="M37" i="126" s="1"/>
  <c r="Q37" i="126"/>
  <c r="K38" i="126"/>
  <c r="N38" i="126"/>
  <c r="O38" i="126"/>
  <c r="P38" i="126"/>
  <c r="L40" i="126"/>
  <c r="M40" i="126" s="1"/>
  <c r="M41" i="126" s="1"/>
  <c r="Q40" i="126"/>
  <c r="Q41" i="126" s="1"/>
  <c r="K41" i="126"/>
  <c r="N41" i="126"/>
  <c r="O41" i="126"/>
  <c r="P41" i="126"/>
  <c r="A162" i="162" l="1"/>
  <c r="R161" i="162"/>
  <c r="T161" i="162"/>
  <c r="V161" i="162"/>
  <c r="X161" i="162"/>
  <c r="AC161" i="162"/>
  <c r="AE161" i="162"/>
  <c r="AG161" i="162"/>
  <c r="S161" i="162"/>
  <c r="W161" i="162"/>
  <c r="AD161" i="162"/>
  <c r="U161" i="162"/>
  <c r="AA161" i="162"/>
  <c r="AF161" i="162"/>
  <c r="AB161" i="162"/>
  <c r="A66" i="162"/>
  <c r="AG65" i="162"/>
  <c r="AE65" i="162"/>
  <c r="AC65" i="162"/>
  <c r="AA65" i="162"/>
  <c r="Y65" i="162"/>
  <c r="W65" i="162"/>
  <c r="U65" i="162"/>
  <c r="S65" i="162"/>
  <c r="AF65" i="162"/>
  <c r="AD65" i="162"/>
  <c r="AB65" i="162"/>
  <c r="Z65" i="162"/>
  <c r="X65" i="162"/>
  <c r="V65" i="162"/>
  <c r="T65" i="162"/>
  <c r="R65" i="162"/>
  <c r="S10" i="142"/>
  <c r="Q9" i="126"/>
  <c r="L41" i="126"/>
  <c r="L32" i="126"/>
  <c r="M17" i="126"/>
  <c r="L17" i="126"/>
  <c r="Q17" i="126"/>
  <c r="Q32" i="126"/>
  <c r="P3" i="126"/>
  <c r="M7" i="126"/>
  <c r="M9" i="126" s="1"/>
  <c r="L9" i="126"/>
  <c r="Q26" i="126"/>
  <c r="L38" i="126"/>
  <c r="Q38" i="126"/>
  <c r="L26" i="126"/>
  <c r="O3" i="126"/>
  <c r="M32" i="126"/>
  <c r="M38" i="126"/>
  <c r="M26" i="126"/>
  <c r="N3" i="126"/>
  <c r="K3" i="126"/>
  <c r="A163" i="162" l="1"/>
  <c r="S162" i="162"/>
  <c r="U162" i="162"/>
  <c r="W162" i="162"/>
  <c r="AA162" i="162"/>
  <c r="AD162" i="162"/>
  <c r="AF162" i="162"/>
  <c r="R162" i="162"/>
  <c r="V162" i="162"/>
  <c r="AC162" i="162"/>
  <c r="AG162" i="162"/>
  <c r="T162" i="162"/>
  <c r="X162" i="162"/>
  <c r="AE162" i="162"/>
  <c r="AB162" i="162"/>
  <c r="A67" i="162"/>
  <c r="R66" i="162"/>
  <c r="T66" i="162"/>
  <c r="V66" i="162"/>
  <c r="X66" i="162"/>
  <c r="AB66" i="162"/>
  <c r="AD66" i="162"/>
  <c r="AF66" i="162"/>
  <c r="S66" i="162"/>
  <c r="U66" i="162"/>
  <c r="W66" i="162"/>
  <c r="AA66" i="162"/>
  <c r="AC66" i="162"/>
  <c r="AE66" i="162"/>
  <c r="AG66" i="162"/>
  <c r="R11" i="142"/>
  <c r="M3" i="126"/>
  <c r="Q3" i="126"/>
  <c r="L3" i="126"/>
  <c r="A26" i="158"/>
  <c r="A27" i="158" s="1"/>
  <c r="A28" i="158" s="1"/>
  <c r="A29" i="158" s="1"/>
  <c r="A30" i="158" s="1"/>
  <c r="A31" i="158" s="1"/>
  <c r="A32" i="158" s="1"/>
  <c r="A33" i="158" s="1"/>
  <c r="A34" i="158" s="1"/>
  <c r="A35" i="158" s="1"/>
  <c r="A36" i="158" s="1"/>
  <c r="A37" i="158" s="1"/>
  <c r="A38" i="158" s="1"/>
  <c r="A39" i="158" s="1"/>
  <c r="A40" i="158" s="1"/>
  <c r="A41" i="158" s="1"/>
  <c r="A42" i="158" s="1"/>
  <c r="A43" i="158" s="1"/>
  <c r="A44" i="158" s="1"/>
  <c r="A45" i="158" s="1"/>
  <c r="A46" i="158" s="1"/>
  <c r="A47" i="158" s="1"/>
  <c r="A48" i="158" s="1"/>
  <c r="A49" i="158" s="1"/>
  <c r="A50" i="158" s="1"/>
  <c r="A51" i="158" s="1"/>
  <c r="A52" i="158" s="1"/>
  <c r="A53" i="158" s="1"/>
  <c r="A54" i="158" s="1"/>
  <c r="A55" i="158" s="1"/>
  <c r="A56" i="158" s="1"/>
  <c r="A57" i="158" s="1"/>
  <c r="A58" i="158" s="1"/>
  <c r="A59" i="158" s="1"/>
  <c r="A60" i="158" s="1"/>
  <c r="A61" i="158" s="1"/>
  <c r="A62" i="158" s="1"/>
  <c r="A63" i="158" s="1"/>
  <c r="A64" i="158" s="1"/>
  <c r="A65" i="158" s="1"/>
  <c r="A66" i="158" s="1"/>
  <c r="A67" i="158" s="1"/>
  <c r="A68" i="158" s="1"/>
  <c r="A69" i="158" s="1"/>
  <c r="A70" i="158" s="1"/>
  <c r="A71" i="158" s="1"/>
  <c r="A72" i="158" s="1"/>
  <c r="A73" i="158" s="1"/>
  <c r="A74" i="158" s="1"/>
  <c r="A75" i="158" s="1"/>
  <c r="A76" i="158" s="1"/>
  <c r="A77" i="158" s="1"/>
  <c r="A78" i="158" s="1"/>
  <c r="A79" i="158" s="1"/>
  <c r="A80" i="158" s="1"/>
  <c r="A81" i="158" s="1"/>
  <c r="A82" i="158" s="1"/>
  <c r="A83" i="158" s="1"/>
  <c r="A84" i="158" s="1"/>
  <c r="A85" i="158" s="1"/>
  <c r="A86" i="158" s="1"/>
  <c r="A87" i="158" s="1"/>
  <c r="A88" i="158" s="1"/>
  <c r="A89" i="158" s="1"/>
  <c r="A90" i="158" s="1"/>
  <c r="A91" i="158" s="1"/>
  <c r="A92" i="158" s="1"/>
  <c r="A93" i="158" s="1"/>
  <c r="A94" i="158" s="1"/>
  <c r="A95" i="158" s="1"/>
  <c r="A96" i="158" s="1"/>
  <c r="A97" i="158" s="1"/>
  <c r="A98" i="158" s="1"/>
  <c r="A99" i="158" s="1"/>
  <c r="A100" i="158" s="1"/>
  <c r="A101" i="158" s="1"/>
  <c r="A102" i="158" s="1"/>
  <c r="A103" i="158" s="1"/>
  <c r="A104" i="158" s="1"/>
  <c r="A105" i="158" s="1"/>
  <c r="A106" i="158" s="1"/>
  <c r="A107" i="158" s="1"/>
  <c r="A108" i="158" s="1"/>
  <c r="A109" i="158" s="1"/>
  <c r="A110" i="158" s="1"/>
  <c r="A111" i="158" s="1"/>
  <c r="A112" i="158" s="1"/>
  <c r="A113" i="158" s="1"/>
  <c r="A114" i="158" s="1"/>
  <c r="A115" i="158" s="1"/>
  <c r="A116" i="158" s="1"/>
  <c r="A117" i="158" s="1"/>
  <c r="A118" i="158" s="1"/>
  <c r="A119" i="158" s="1"/>
  <c r="A120" i="158" s="1"/>
  <c r="A121" i="158" s="1"/>
  <c r="A122" i="158" s="1"/>
  <c r="A123" i="158" s="1"/>
  <c r="A124" i="158" s="1"/>
  <c r="A125" i="158" s="1"/>
  <c r="A126" i="158" s="1"/>
  <c r="A127" i="158" s="1"/>
  <c r="A128" i="158" s="1"/>
  <c r="A129" i="158" s="1"/>
  <c r="A130" i="158" s="1"/>
  <c r="A131" i="158" s="1"/>
  <c r="A132" i="158" s="1"/>
  <c r="A133" i="158" s="1"/>
  <c r="A134" i="158" s="1"/>
  <c r="A135" i="158" s="1"/>
  <c r="A136" i="158" s="1"/>
  <c r="A137" i="158" s="1"/>
  <c r="A138" i="158" s="1"/>
  <c r="A139" i="158" s="1"/>
  <c r="A140" i="158" s="1"/>
  <c r="A141" i="158" s="1"/>
  <c r="A142" i="158" s="1"/>
  <c r="A143" i="158" s="1"/>
  <c r="A144" i="158" s="1"/>
  <c r="A145" i="158" s="1"/>
  <c r="A146" i="158" s="1"/>
  <c r="A147" i="158" s="1"/>
  <c r="A148" i="158" s="1"/>
  <c r="A149" i="158" s="1"/>
  <c r="A150" i="158" s="1"/>
  <c r="A151" i="158" s="1"/>
  <c r="A152" i="158" s="1"/>
  <c r="A153" i="158" s="1"/>
  <c r="A154" i="158" s="1"/>
  <c r="A155" i="158" s="1"/>
  <c r="A156" i="158" s="1"/>
  <c r="A157" i="158" s="1"/>
  <c r="A158" i="158" s="1"/>
  <c r="A159" i="158" s="1"/>
  <c r="A160" i="158" s="1"/>
  <c r="A161" i="158" s="1"/>
  <c r="A162" i="158" s="1"/>
  <c r="A163" i="158" s="1"/>
  <c r="A164" i="158" s="1"/>
  <c r="A165" i="158" s="1"/>
  <c r="A166" i="158" s="1"/>
  <c r="A167" i="158" s="1"/>
  <c r="A168" i="158" s="1"/>
  <c r="A169" i="158" s="1"/>
  <c r="A170" i="158" s="1"/>
  <c r="A171" i="158" s="1"/>
  <c r="A172" i="158" s="1"/>
  <c r="A173" i="158" s="1"/>
  <c r="A174" i="158" s="1"/>
  <c r="A175" i="158" s="1"/>
  <c r="A176" i="158" s="1"/>
  <c r="A177" i="158" s="1"/>
  <c r="A178" i="158" s="1"/>
  <c r="A179" i="158" s="1"/>
  <c r="A180" i="158" s="1"/>
  <c r="A181" i="158" s="1"/>
  <c r="A182" i="158" s="1"/>
  <c r="A183" i="158" s="1"/>
  <c r="A184" i="158" s="1"/>
  <c r="A185" i="158" s="1"/>
  <c r="A164" i="162" l="1"/>
  <c r="R163" i="162"/>
  <c r="T163" i="162"/>
  <c r="V163" i="162"/>
  <c r="X163" i="162"/>
  <c r="AC163" i="162"/>
  <c r="AE163" i="162"/>
  <c r="AG163" i="162"/>
  <c r="U163" i="162"/>
  <c r="AA163" i="162"/>
  <c r="AF163" i="162"/>
  <c r="S163" i="162"/>
  <c r="W163" i="162"/>
  <c r="AD163" i="162"/>
  <c r="AB163" i="162"/>
  <c r="A68" i="162"/>
  <c r="AG67" i="162"/>
  <c r="AE67" i="162"/>
  <c r="AC67" i="162"/>
  <c r="AA67" i="162"/>
  <c r="Y67" i="162"/>
  <c r="W67" i="162"/>
  <c r="U67" i="162"/>
  <c r="S67" i="162"/>
  <c r="AF67" i="162"/>
  <c r="AD67" i="162"/>
  <c r="AB67" i="162"/>
  <c r="Z67" i="162"/>
  <c r="X67" i="162"/>
  <c r="V67" i="162"/>
  <c r="T67" i="162"/>
  <c r="R67" i="162"/>
  <c r="S11" i="142"/>
  <c r="A165" i="162" l="1"/>
  <c r="S164" i="162"/>
  <c r="U164" i="162"/>
  <c r="W164" i="162"/>
  <c r="AA164" i="162"/>
  <c r="AD164" i="162"/>
  <c r="AF164" i="162"/>
  <c r="T164" i="162"/>
  <c r="X164" i="162"/>
  <c r="AE164" i="162"/>
  <c r="R164" i="162"/>
  <c r="V164" i="162"/>
  <c r="AC164" i="162"/>
  <c r="AG164" i="162"/>
  <c r="AB164" i="162"/>
  <c r="A69" i="162"/>
  <c r="AG68" i="162"/>
  <c r="AE68" i="162"/>
  <c r="AC68" i="162"/>
  <c r="AA68" i="162"/>
  <c r="Y68" i="162"/>
  <c r="W68" i="162"/>
  <c r="U68" i="162"/>
  <c r="S68" i="162"/>
  <c r="AF68" i="162"/>
  <c r="AD68" i="162"/>
  <c r="AB68" i="162"/>
  <c r="Z68" i="162"/>
  <c r="X68" i="162"/>
  <c r="V68" i="162"/>
  <c r="T68" i="162"/>
  <c r="R68" i="162"/>
  <c r="A166" i="162" l="1"/>
  <c r="R165" i="162"/>
  <c r="T165" i="162"/>
  <c r="V165" i="162"/>
  <c r="X165" i="162"/>
  <c r="AC165" i="162"/>
  <c r="AE165" i="162"/>
  <c r="AG165" i="162"/>
  <c r="S165" i="162"/>
  <c r="W165" i="162"/>
  <c r="AD165" i="162"/>
  <c r="U165" i="162"/>
  <c r="AA165" i="162"/>
  <c r="AF165" i="162"/>
  <c r="AB165" i="162"/>
  <c r="Z29" i="162"/>
  <c r="Y29" i="162"/>
  <c r="A70" i="162"/>
  <c r="AG69" i="162"/>
  <c r="AE69" i="162"/>
  <c r="AC69" i="162"/>
  <c r="AA69" i="162"/>
  <c r="Y69" i="162"/>
  <c r="W69" i="162"/>
  <c r="U69" i="162"/>
  <c r="S69" i="162"/>
  <c r="AF69" i="162"/>
  <c r="AD69" i="162"/>
  <c r="AB69" i="162"/>
  <c r="Z69" i="162"/>
  <c r="X69" i="162"/>
  <c r="V69" i="162"/>
  <c r="T69" i="162"/>
  <c r="R69" i="162"/>
  <c r="A167" i="162" l="1"/>
  <c r="S166" i="162"/>
  <c r="U166" i="162"/>
  <c r="W166" i="162"/>
  <c r="AA166" i="162"/>
  <c r="AD166" i="162"/>
  <c r="AF166" i="162"/>
  <c r="R166" i="162"/>
  <c r="V166" i="162"/>
  <c r="AC166" i="162"/>
  <c r="AG166" i="162"/>
  <c r="T166" i="162"/>
  <c r="X166" i="162"/>
  <c r="AE166" i="162"/>
  <c r="AB166" i="162"/>
  <c r="A71" i="162"/>
  <c r="AG70" i="162"/>
  <c r="AE70" i="162"/>
  <c r="AC70" i="162"/>
  <c r="AA70" i="162"/>
  <c r="Y70" i="162"/>
  <c r="W70" i="162"/>
  <c r="U70" i="162"/>
  <c r="S70" i="162"/>
  <c r="AF70" i="162"/>
  <c r="AD70" i="162"/>
  <c r="AB70" i="162"/>
  <c r="Z70" i="162"/>
  <c r="X70" i="162"/>
  <c r="V70" i="162"/>
  <c r="T70" i="162"/>
  <c r="R70" i="162"/>
  <c r="A168" i="162" l="1"/>
  <c r="S167" i="162"/>
  <c r="U167" i="162"/>
  <c r="W167" i="162"/>
  <c r="AA167" i="162"/>
  <c r="AD167" i="162"/>
  <c r="AF167" i="162"/>
  <c r="R167" i="162"/>
  <c r="V167" i="162"/>
  <c r="AC167" i="162"/>
  <c r="AG167" i="162"/>
  <c r="T167" i="162"/>
  <c r="X167" i="162"/>
  <c r="AE167" i="162"/>
  <c r="AB167" i="162"/>
  <c r="A72" i="162"/>
  <c r="R71" i="162"/>
  <c r="T71" i="162"/>
  <c r="V71" i="162"/>
  <c r="X71" i="162"/>
  <c r="Z71" i="162"/>
  <c r="AB71" i="162"/>
  <c r="AD71" i="162"/>
  <c r="AF71" i="162"/>
  <c r="S71" i="162"/>
  <c r="U71" i="162"/>
  <c r="W71" i="162"/>
  <c r="Y71" i="162"/>
  <c r="AA71" i="162"/>
  <c r="AC71" i="162"/>
  <c r="AE71" i="162"/>
  <c r="AG71" i="162"/>
  <c r="A169" i="162" l="1"/>
  <c r="R168" i="162"/>
  <c r="T168" i="162"/>
  <c r="V168" i="162"/>
  <c r="X168" i="162"/>
  <c r="AC168" i="162"/>
  <c r="AE168" i="162"/>
  <c r="AG168" i="162"/>
  <c r="U168" i="162"/>
  <c r="AA168" i="162"/>
  <c r="AF168" i="162"/>
  <c r="S168" i="162"/>
  <c r="W168" i="162"/>
  <c r="AD168" i="162"/>
  <c r="AB168" i="162"/>
  <c r="A73" i="162"/>
  <c r="S72" i="162"/>
  <c r="U72" i="162"/>
  <c r="W72" i="162"/>
  <c r="Y72" i="162"/>
  <c r="AA72" i="162"/>
  <c r="AC72" i="162"/>
  <c r="AE72" i="162"/>
  <c r="AG72" i="162"/>
  <c r="R72" i="162"/>
  <c r="V72" i="162"/>
  <c r="Z72" i="162"/>
  <c r="AD72" i="162"/>
  <c r="T72" i="162"/>
  <c r="X72" i="162"/>
  <c r="AB72" i="162"/>
  <c r="AF72" i="162"/>
  <c r="A170" i="162" l="1"/>
  <c r="S169" i="162"/>
  <c r="U169" i="162"/>
  <c r="W169" i="162"/>
  <c r="Y169" i="162"/>
  <c r="AA169" i="162"/>
  <c r="AC169" i="162"/>
  <c r="AE169" i="162"/>
  <c r="AG169" i="162"/>
  <c r="R169" i="162"/>
  <c r="V169" i="162"/>
  <c r="Z169" i="162"/>
  <c r="AD169" i="162"/>
  <c r="T169" i="162"/>
  <c r="X169" i="162"/>
  <c r="AB169" i="162"/>
  <c r="AF169" i="162"/>
  <c r="A74" i="162"/>
  <c r="S73" i="162"/>
  <c r="U73" i="162"/>
  <c r="W73" i="162"/>
  <c r="Y73" i="162"/>
  <c r="AA73" i="162"/>
  <c r="AC73" i="162"/>
  <c r="AE73" i="162"/>
  <c r="AG73" i="162"/>
  <c r="R73" i="162"/>
  <c r="V73" i="162"/>
  <c r="Z73" i="162"/>
  <c r="AD73" i="162"/>
  <c r="T73" i="162"/>
  <c r="X73" i="162"/>
  <c r="AB73" i="162"/>
  <c r="AF73" i="162"/>
  <c r="A171" i="162" l="1"/>
  <c r="S170" i="162"/>
  <c r="U170" i="162"/>
  <c r="W170" i="162"/>
  <c r="AA170" i="162"/>
  <c r="AD170" i="162"/>
  <c r="AF170" i="162"/>
  <c r="T170" i="162"/>
  <c r="X170" i="162"/>
  <c r="AE170" i="162"/>
  <c r="R170" i="162"/>
  <c r="V170" i="162"/>
  <c r="AC170" i="162"/>
  <c r="AG170" i="162"/>
  <c r="AB170" i="162"/>
  <c r="A75" i="162"/>
  <c r="S74" i="162"/>
  <c r="U74" i="162"/>
  <c r="R74" i="162"/>
  <c r="V74" i="162"/>
  <c r="X74" i="162"/>
  <c r="AB74" i="162"/>
  <c r="AD74" i="162"/>
  <c r="AF74" i="162"/>
  <c r="T74" i="162"/>
  <c r="W74" i="162"/>
  <c r="AA74" i="162"/>
  <c r="AC74" i="162"/>
  <c r="AE74" i="162"/>
  <c r="AG74" i="162"/>
  <c r="A172" i="162" l="1"/>
  <c r="R171" i="162"/>
  <c r="T171" i="162"/>
  <c r="V171" i="162"/>
  <c r="X171" i="162"/>
  <c r="AC171" i="162"/>
  <c r="AE171" i="162"/>
  <c r="AG171" i="162"/>
  <c r="S171" i="162"/>
  <c r="W171" i="162"/>
  <c r="AD171" i="162"/>
  <c r="U171" i="162"/>
  <c r="AA171" i="162"/>
  <c r="AF171" i="162"/>
  <c r="AB171" i="162"/>
  <c r="Y151" i="162"/>
  <c r="Z151" i="162"/>
  <c r="A76" i="162"/>
  <c r="R75" i="162"/>
  <c r="T75" i="162"/>
  <c r="V75" i="162"/>
  <c r="X75" i="162"/>
  <c r="Z75" i="162"/>
  <c r="AB75" i="162"/>
  <c r="AD75" i="162"/>
  <c r="AF75" i="162"/>
  <c r="S75" i="162"/>
  <c r="U75" i="162"/>
  <c r="W75" i="162"/>
  <c r="Y75" i="162"/>
  <c r="AA75" i="162"/>
  <c r="AC75" i="162"/>
  <c r="AE75" i="162"/>
  <c r="AG75" i="162"/>
  <c r="Z172" i="162" l="1"/>
  <c r="Y172" i="162"/>
  <c r="A173" i="162"/>
  <c r="S172" i="162"/>
  <c r="U172" i="162"/>
  <c r="W172" i="162"/>
  <c r="AA172" i="162"/>
  <c r="AD172" i="162"/>
  <c r="AF172" i="162"/>
  <c r="R172" i="162"/>
  <c r="V172" i="162"/>
  <c r="AC172" i="162"/>
  <c r="AG172" i="162"/>
  <c r="T172" i="162"/>
  <c r="X172" i="162"/>
  <c r="AE172" i="162"/>
  <c r="AB172" i="162"/>
  <c r="Y66" i="162"/>
  <c r="Z66" i="162"/>
  <c r="Y148" i="162"/>
  <c r="Z148" i="162"/>
  <c r="Y51" i="162"/>
  <c r="Z51" i="162"/>
  <c r="A77" i="162"/>
  <c r="R76" i="162"/>
  <c r="T76" i="162"/>
  <c r="V76" i="162"/>
  <c r="X76" i="162"/>
  <c r="Z76" i="162"/>
  <c r="AB76" i="162"/>
  <c r="AD76" i="162"/>
  <c r="AF76" i="162"/>
  <c r="S76" i="162"/>
  <c r="U76" i="162"/>
  <c r="W76" i="162"/>
  <c r="Y76" i="162"/>
  <c r="AA76" i="162"/>
  <c r="AC76" i="162"/>
  <c r="AE76" i="162"/>
  <c r="AG76" i="162"/>
  <c r="A174" i="162" l="1"/>
  <c r="R173" i="162"/>
  <c r="T173" i="162"/>
  <c r="V173" i="162"/>
  <c r="X173" i="162"/>
  <c r="AC173" i="162"/>
  <c r="AE173" i="162"/>
  <c r="AG173" i="162"/>
  <c r="U173" i="162"/>
  <c r="AA173" i="162"/>
  <c r="AF173" i="162"/>
  <c r="S173" i="162"/>
  <c r="W173" i="162"/>
  <c r="AD173" i="162"/>
  <c r="AB173" i="162"/>
  <c r="A78" i="162"/>
  <c r="R77" i="162"/>
  <c r="T77" i="162"/>
  <c r="V77" i="162"/>
  <c r="X77" i="162"/>
  <c r="Z77" i="162"/>
  <c r="AB77" i="162"/>
  <c r="AD77" i="162"/>
  <c r="AF77" i="162"/>
  <c r="S77" i="162"/>
  <c r="U77" i="162"/>
  <c r="W77" i="162"/>
  <c r="Y77" i="162"/>
  <c r="AA77" i="162"/>
  <c r="AC77" i="162"/>
  <c r="AE77" i="162"/>
  <c r="AG77" i="162"/>
  <c r="A175" i="162" l="1"/>
  <c r="S174" i="162"/>
  <c r="U174" i="162"/>
  <c r="W174" i="162"/>
  <c r="AA174" i="162"/>
  <c r="AD174" i="162"/>
  <c r="AF174" i="162"/>
  <c r="T174" i="162"/>
  <c r="X174" i="162"/>
  <c r="AE174" i="162"/>
  <c r="R174" i="162"/>
  <c r="V174" i="162"/>
  <c r="AC174" i="162"/>
  <c r="AG174" i="162"/>
  <c r="AB174" i="162"/>
  <c r="A79" i="162"/>
  <c r="R78" i="162"/>
  <c r="T78" i="162"/>
  <c r="V78" i="162"/>
  <c r="X78" i="162"/>
  <c r="AB78" i="162"/>
  <c r="AD78" i="162"/>
  <c r="AF78" i="162"/>
  <c r="S78" i="162"/>
  <c r="U78" i="162"/>
  <c r="W78" i="162"/>
  <c r="AA78" i="162"/>
  <c r="AC78" i="162"/>
  <c r="AE78" i="162"/>
  <c r="AG78" i="162"/>
  <c r="A176" i="162" l="1"/>
  <c r="R175" i="162"/>
  <c r="T175" i="162"/>
  <c r="V175" i="162"/>
  <c r="X175" i="162"/>
  <c r="AC175" i="162"/>
  <c r="AE175" i="162"/>
  <c r="AG175" i="162"/>
  <c r="S175" i="162"/>
  <c r="W175" i="162"/>
  <c r="AD175" i="162"/>
  <c r="U175" i="162"/>
  <c r="AA175" i="162"/>
  <c r="AF175" i="162"/>
  <c r="AB175" i="162"/>
  <c r="Y149" i="162"/>
  <c r="Z149" i="162"/>
  <c r="Y173" i="162"/>
  <c r="Z173" i="162"/>
  <c r="Y159" i="162"/>
  <c r="Z159" i="162"/>
  <c r="Y52" i="162"/>
  <c r="Z52" i="162"/>
  <c r="Y155" i="162"/>
  <c r="Z155" i="162"/>
  <c r="Y167" i="162"/>
  <c r="Z167" i="162"/>
  <c r="Y150" i="162"/>
  <c r="Z150" i="162"/>
  <c r="Y174" i="162"/>
  <c r="Z174" i="162"/>
  <c r="Y152" i="162"/>
  <c r="Z152" i="162"/>
  <c r="Y147" i="162"/>
  <c r="Z147" i="162"/>
  <c r="Y126" i="162"/>
  <c r="Z126" i="162"/>
  <c r="A80" i="162"/>
  <c r="R79" i="162"/>
  <c r="T79" i="162"/>
  <c r="S79" i="162"/>
  <c r="U79" i="162"/>
  <c r="W79" i="162"/>
  <c r="AA79" i="162"/>
  <c r="AC79" i="162"/>
  <c r="AE79" i="162"/>
  <c r="AG79" i="162"/>
  <c r="V79" i="162"/>
  <c r="AD79" i="162"/>
  <c r="X79" i="162"/>
  <c r="AB79" i="162"/>
  <c r="AF79" i="162"/>
  <c r="A177" i="162" l="1"/>
  <c r="S176" i="162"/>
  <c r="U176" i="162"/>
  <c r="W176" i="162"/>
  <c r="AA176" i="162"/>
  <c r="AD176" i="162"/>
  <c r="AF176" i="162"/>
  <c r="T176" i="162"/>
  <c r="X176" i="162"/>
  <c r="AE176" i="162"/>
  <c r="V176" i="162"/>
  <c r="AG176" i="162"/>
  <c r="R176" i="162"/>
  <c r="AC176" i="162"/>
  <c r="AB176" i="162"/>
  <c r="Y162" i="162"/>
  <c r="Z162" i="162"/>
  <c r="Y142" i="162"/>
  <c r="Z142" i="162"/>
  <c r="Y143" i="162"/>
  <c r="Z143" i="162"/>
  <c r="Y144" i="162"/>
  <c r="Z144" i="162"/>
  <c r="A81" i="162"/>
  <c r="A83" i="162" s="1"/>
  <c r="R80" i="162"/>
  <c r="T80" i="162"/>
  <c r="V80" i="162"/>
  <c r="X80" i="162"/>
  <c r="Z80" i="162"/>
  <c r="AB80" i="162"/>
  <c r="AD80" i="162"/>
  <c r="AF80" i="162"/>
  <c r="S80" i="162"/>
  <c r="U80" i="162"/>
  <c r="W80" i="162"/>
  <c r="Y80" i="162"/>
  <c r="AA80" i="162"/>
  <c r="AC80" i="162"/>
  <c r="AE80" i="162"/>
  <c r="AG80" i="162"/>
  <c r="Z177" i="162" l="1"/>
  <c r="Y177" i="162"/>
  <c r="A178" i="162"/>
  <c r="R177" i="162"/>
  <c r="T177" i="162"/>
  <c r="V177" i="162"/>
  <c r="X177" i="162"/>
  <c r="AC177" i="162"/>
  <c r="AE177" i="162"/>
  <c r="AG177" i="162"/>
  <c r="S177" i="162"/>
  <c r="W177" i="162"/>
  <c r="AD177" i="162"/>
  <c r="AA177" i="162"/>
  <c r="U177" i="162"/>
  <c r="AF177" i="162"/>
  <c r="AB177" i="162"/>
  <c r="A84" i="162"/>
  <c r="AG83" i="162"/>
  <c r="AE83" i="162"/>
  <c r="AC83" i="162"/>
  <c r="AA83" i="162"/>
  <c r="Y83" i="162"/>
  <c r="W83" i="162"/>
  <c r="U83" i="162"/>
  <c r="S83" i="162"/>
  <c r="AF83" i="162"/>
  <c r="AD83" i="162"/>
  <c r="AB83" i="162"/>
  <c r="Z83" i="162"/>
  <c r="X83" i="162"/>
  <c r="V83" i="162"/>
  <c r="T83" i="162"/>
  <c r="R83" i="162"/>
  <c r="Z178" i="162" l="1"/>
  <c r="Y178" i="162"/>
  <c r="A179" i="162"/>
  <c r="S178" i="162"/>
  <c r="U178" i="162"/>
  <c r="W178" i="162"/>
  <c r="AA178" i="162"/>
  <c r="AD178" i="162"/>
  <c r="AF178" i="162"/>
  <c r="R178" i="162"/>
  <c r="V178" i="162"/>
  <c r="AC178" i="162"/>
  <c r="AG178" i="162"/>
  <c r="T178" i="162"/>
  <c r="AE178" i="162"/>
  <c r="X178" i="162"/>
  <c r="AB178" i="162"/>
  <c r="Y171" i="162"/>
  <c r="Z171" i="162"/>
  <c r="A85" i="162"/>
  <c r="R84" i="162"/>
  <c r="T84" i="162"/>
  <c r="V84" i="162"/>
  <c r="X84" i="162"/>
  <c r="AB84" i="162"/>
  <c r="AD84" i="162"/>
  <c r="AF84" i="162"/>
  <c r="S84" i="162"/>
  <c r="U84" i="162"/>
  <c r="W84" i="162"/>
  <c r="AA84" i="162"/>
  <c r="AC84" i="162"/>
  <c r="AE84" i="162"/>
  <c r="AG84" i="162"/>
  <c r="Y84" i="162"/>
  <c r="Z179" i="162" l="1"/>
  <c r="Y179" i="162"/>
  <c r="A180" i="162"/>
  <c r="R179" i="162"/>
  <c r="T179" i="162"/>
  <c r="V179" i="162"/>
  <c r="X179" i="162"/>
  <c r="AC179" i="162"/>
  <c r="AE179" i="162"/>
  <c r="AG179" i="162"/>
  <c r="U179" i="162"/>
  <c r="AA179" i="162"/>
  <c r="AF179" i="162"/>
  <c r="W179" i="162"/>
  <c r="S179" i="162"/>
  <c r="AD179" i="162"/>
  <c r="AB179" i="162"/>
  <c r="Y176" i="162"/>
  <c r="Z176" i="162"/>
  <c r="Y170" i="162"/>
  <c r="Z170" i="162"/>
  <c r="Y168" i="162"/>
  <c r="Z168" i="162"/>
  <c r="Y121" i="162"/>
  <c r="Z121" i="162"/>
  <c r="Y166" i="162"/>
  <c r="Z166" i="162"/>
  <c r="Y164" i="162"/>
  <c r="Z164" i="162"/>
  <c r="Z84" i="162"/>
  <c r="Y108" i="162"/>
  <c r="Z108" i="162"/>
  <c r="Y165" i="162"/>
  <c r="Z165" i="162"/>
  <c r="Y154" i="162"/>
  <c r="Z154" i="162"/>
  <c r="Z104" i="162"/>
  <c r="Y104" i="162"/>
  <c r="Y160" i="162"/>
  <c r="Z160" i="162"/>
  <c r="Y145" i="162"/>
  <c r="Z145" i="162"/>
  <c r="A86" i="162"/>
  <c r="R85" i="162"/>
  <c r="T85" i="162"/>
  <c r="V85" i="162"/>
  <c r="X85" i="162"/>
  <c r="AB85" i="162"/>
  <c r="AD85" i="162"/>
  <c r="AF85" i="162"/>
  <c r="S85" i="162"/>
  <c r="U85" i="162"/>
  <c r="W85" i="162"/>
  <c r="AA85" i="162"/>
  <c r="AC85" i="162"/>
  <c r="AE85" i="162"/>
  <c r="AG85" i="162"/>
  <c r="Z180" i="162" l="1"/>
  <c r="Y180" i="162"/>
  <c r="A181" i="162"/>
  <c r="S180" i="162"/>
  <c r="U180" i="162"/>
  <c r="W180" i="162"/>
  <c r="AA180" i="162"/>
  <c r="AD180" i="162"/>
  <c r="AF180" i="162"/>
  <c r="T180" i="162"/>
  <c r="X180" i="162"/>
  <c r="AE180" i="162"/>
  <c r="R180" i="162"/>
  <c r="AC180" i="162"/>
  <c r="V180" i="162"/>
  <c r="AG180" i="162"/>
  <c r="AB180" i="162"/>
  <c r="Y118" i="162"/>
  <c r="Z118" i="162"/>
  <c r="Y119" i="162"/>
  <c r="Z119" i="162"/>
  <c r="Y146" i="162"/>
  <c r="Z146" i="162"/>
  <c r="A87" i="162"/>
  <c r="R86" i="162"/>
  <c r="T86" i="162"/>
  <c r="V86" i="162"/>
  <c r="X86" i="162"/>
  <c r="Z86" i="162"/>
  <c r="S86" i="162"/>
  <c r="U86" i="162"/>
  <c r="W86" i="162"/>
  <c r="Y86" i="162"/>
  <c r="AA86" i="162"/>
  <c r="AB86" i="162"/>
  <c r="AD86" i="162"/>
  <c r="AF86" i="162"/>
  <c r="AC86" i="162"/>
  <c r="AE86" i="162"/>
  <c r="AG86" i="162"/>
  <c r="Z181" i="162" l="1"/>
  <c r="Y181" i="162"/>
  <c r="A182" i="162"/>
  <c r="R181" i="162"/>
  <c r="T181" i="162"/>
  <c r="V181" i="162"/>
  <c r="X181" i="162"/>
  <c r="AC181" i="162"/>
  <c r="AE181" i="162"/>
  <c r="AG181" i="162"/>
  <c r="S181" i="162"/>
  <c r="W181" i="162"/>
  <c r="AD181" i="162"/>
  <c r="U181" i="162"/>
  <c r="AF181" i="162"/>
  <c r="AA181" i="162"/>
  <c r="AB181" i="162"/>
  <c r="Y130" i="162"/>
  <c r="Z130" i="162"/>
  <c r="A88" i="162"/>
  <c r="R87" i="162"/>
  <c r="T87" i="162"/>
  <c r="V87" i="162"/>
  <c r="X87" i="162"/>
  <c r="Z87" i="162"/>
  <c r="AB87" i="162"/>
  <c r="AD87" i="162"/>
  <c r="AF87" i="162"/>
  <c r="S87" i="162"/>
  <c r="U87" i="162"/>
  <c r="W87" i="162"/>
  <c r="Y87" i="162"/>
  <c r="AA87" i="162"/>
  <c r="AC87" i="162"/>
  <c r="AE87" i="162"/>
  <c r="AG87" i="162"/>
  <c r="A183" i="162" l="1"/>
  <c r="S182" i="162"/>
  <c r="U182" i="162"/>
  <c r="W182" i="162"/>
  <c r="AA182" i="162"/>
  <c r="R182" i="162"/>
  <c r="V182" i="162"/>
  <c r="AC182" i="162"/>
  <c r="AE182" i="162"/>
  <c r="AG182" i="162"/>
  <c r="X182" i="162"/>
  <c r="AF182" i="162"/>
  <c r="T182" i="162"/>
  <c r="AD182" i="162"/>
  <c r="AB182" i="162"/>
  <c r="Y161" i="162"/>
  <c r="Z161" i="162"/>
  <c r="Y175" i="162"/>
  <c r="Z175" i="162"/>
  <c r="Y153" i="162"/>
  <c r="Z153" i="162"/>
  <c r="Y163" i="162"/>
  <c r="Z163" i="162"/>
  <c r="Y182" i="162"/>
  <c r="Z182" i="162"/>
  <c r="A89" i="162"/>
  <c r="R88" i="162"/>
  <c r="T88" i="162"/>
  <c r="V88" i="162"/>
  <c r="X88" i="162"/>
  <c r="AB88" i="162"/>
  <c r="AD88" i="162"/>
  <c r="AF88" i="162"/>
  <c r="S88" i="162"/>
  <c r="U88" i="162"/>
  <c r="W88" i="162"/>
  <c r="AA88" i="162"/>
  <c r="AC88" i="162"/>
  <c r="AE88" i="162"/>
  <c r="AG88" i="162"/>
  <c r="Y183" i="162" l="1"/>
  <c r="Z183" i="162"/>
  <c r="A184" i="162"/>
  <c r="S183" i="162"/>
  <c r="U183" i="162"/>
  <c r="W183" i="162"/>
  <c r="AA183" i="162"/>
  <c r="AD183" i="162"/>
  <c r="AF183" i="162"/>
  <c r="R183" i="162"/>
  <c r="V183" i="162"/>
  <c r="AC183" i="162"/>
  <c r="AG183" i="162"/>
  <c r="T183" i="162"/>
  <c r="AE183" i="162"/>
  <c r="X183" i="162"/>
  <c r="AB183" i="162"/>
  <c r="A90" i="162"/>
  <c r="R89" i="162"/>
  <c r="T89" i="162"/>
  <c r="V89" i="162"/>
  <c r="X89" i="162"/>
  <c r="AB89" i="162"/>
  <c r="AD89" i="162"/>
  <c r="AF89" i="162"/>
  <c r="S89" i="162"/>
  <c r="U89" i="162"/>
  <c r="W89" i="162"/>
  <c r="AA89" i="162"/>
  <c r="AC89" i="162"/>
  <c r="AE89" i="162"/>
  <c r="AG89" i="162"/>
  <c r="Y184" i="162" l="1"/>
  <c r="Z184" i="162"/>
  <c r="A185" i="162"/>
  <c r="R184" i="162"/>
  <c r="T184" i="162"/>
  <c r="V184" i="162"/>
  <c r="X184" i="162"/>
  <c r="AC184" i="162"/>
  <c r="AE184" i="162"/>
  <c r="AG184" i="162"/>
  <c r="U184" i="162"/>
  <c r="AA184" i="162"/>
  <c r="AF184" i="162"/>
  <c r="W184" i="162"/>
  <c r="S184" i="162"/>
  <c r="AD184" i="162"/>
  <c r="AB184" i="162"/>
  <c r="A91" i="162"/>
  <c r="R90" i="162"/>
  <c r="T90" i="162"/>
  <c r="V90" i="162"/>
  <c r="X90" i="162"/>
  <c r="AB90" i="162"/>
  <c r="AD90" i="162"/>
  <c r="AF90" i="162"/>
  <c r="S90" i="162"/>
  <c r="U90" i="162"/>
  <c r="W90" i="162"/>
  <c r="AA90" i="162"/>
  <c r="AC90" i="162"/>
  <c r="AE90" i="162"/>
  <c r="AG90" i="162"/>
  <c r="Z185" i="162" l="1"/>
  <c r="Y185" i="162"/>
  <c r="A186" i="162"/>
  <c r="S185" i="162"/>
  <c r="U185" i="162"/>
  <c r="W185" i="162"/>
  <c r="AA185" i="162"/>
  <c r="AD185" i="162"/>
  <c r="AF185" i="162"/>
  <c r="T185" i="162"/>
  <c r="X185" i="162"/>
  <c r="AE185" i="162"/>
  <c r="R185" i="162"/>
  <c r="AC185" i="162"/>
  <c r="V185" i="162"/>
  <c r="AG185" i="162"/>
  <c r="AB185" i="162"/>
  <c r="Y117" i="162"/>
  <c r="Z117" i="162"/>
  <c r="A92" i="162"/>
  <c r="R91" i="162"/>
  <c r="T91" i="162"/>
  <c r="V91" i="162"/>
  <c r="X91" i="162"/>
  <c r="AB91" i="162"/>
  <c r="AD91" i="162"/>
  <c r="AF91" i="162"/>
  <c r="S91" i="162"/>
  <c r="U91" i="162"/>
  <c r="W91" i="162"/>
  <c r="AA91" i="162"/>
  <c r="AC91" i="162"/>
  <c r="AE91" i="162"/>
  <c r="AG91" i="162"/>
  <c r="Z186" i="162" l="1"/>
  <c r="Y186" i="162"/>
  <c r="A187" i="162"/>
  <c r="R186" i="162"/>
  <c r="T186" i="162"/>
  <c r="V186" i="162"/>
  <c r="X186" i="162"/>
  <c r="AC186" i="162"/>
  <c r="AE186" i="162"/>
  <c r="AG186" i="162"/>
  <c r="S186" i="162"/>
  <c r="W186" i="162"/>
  <c r="AD186" i="162"/>
  <c r="U186" i="162"/>
  <c r="AF186" i="162"/>
  <c r="AA186" i="162"/>
  <c r="AB186" i="162"/>
  <c r="A93" i="162"/>
  <c r="R92" i="162"/>
  <c r="T92" i="162"/>
  <c r="V92" i="162"/>
  <c r="X92" i="162"/>
  <c r="AB92" i="162"/>
  <c r="AD92" i="162"/>
  <c r="AF92" i="162"/>
  <c r="S92" i="162"/>
  <c r="U92" i="162"/>
  <c r="W92" i="162"/>
  <c r="AA92" i="162"/>
  <c r="AC92" i="162"/>
  <c r="AE92" i="162"/>
  <c r="AG92" i="162"/>
  <c r="Z187" i="162" l="1"/>
  <c r="Y187" i="162"/>
  <c r="A188" i="162"/>
  <c r="S187" i="162"/>
  <c r="U187" i="162"/>
  <c r="W187" i="162"/>
  <c r="AA187" i="162"/>
  <c r="AD187" i="162"/>
  <c r="AF187" i="162"/>
  <c r="R187" i="162"/>
  <c r="V187" i="162"/>
  <c r="AC187" i="162"/>
  <c r="AG187" i="162"/>
  <c r="X187" i="162"/>
  <c r="T187" i="162"/>
  <c r="AE187" i="162"/>
  <c r="AB187" i="162"/>
  <c r="Y136" i="162"/>
  <c r="Z136" i="162"/>
  <c r="Y135" i="162"/>
  <c r="Z135" i="162"/>
  <c r="A94" i="162"/>
  <c r="R93" i="162"/>
  <c r="T93" i="162"/>
  <c r="V93" i="162"/>
  <c r="X93" i="162"/>
  <c r="AB93" i="162"/>
  <c r="AD93" i="162"/>
  <c r="AF93" i="162"/>
  <c r="S93" i="162"/>
  <c r="U93" i="162"/>
  <c r="W93" i="162"/>
  <c r="AA93" i="162"/>
  <c r="AC93" i="162"/>
  <c r="AE93" i="162"/>
  <c r="AG93" i="162"/>
  <c r="Y93" i="162"/>
  <c r="Z188" i="162" l="1"/>
  <c r="Y188" i="162"/>
  <c r="A189" i="162"/>
  <c r="R188" i="162"/>
  <c r="T188" i="162"/>
  <c r="V188" i="162"/>
  <c r="X188" i="162"/>
  <c r="AC188" i="162"/>
  <c r="AE188" i="162"/>
  <c r="AG188" i="162"/>
  <c r="U188" i="162"/>
  <c r="AA188" i="162"/>
  <c r="AF188" i="162"/>
  <c r="S188" i="162"/>
  <c r="AD188" i="162"/>
  <c r="W188" i="162"/>
  <c r="AB188" i="162"/>
  <c r="Y92" i="162"/>
  <c r="Z92" i="162"/>
  <c r="Z74" i="162"/>
  <c r="Y74" i="162"/>
  <c r="Z85" i="162"/>
  <c r="Y85" i="162"/>
  <c r="Y90" i="162"/>
  <c r="Z90" i="162"/>
  <c r="Y110" i="162"/>
  <c r="Z110" i="162"/>
  <c r="Y78" i="162"/>
  <c r="Z78" i="162"/>
  <c r="Y79" i="162"/>
  <c r="Z79" i="162"/>
  <c r="Z138" i="162"/>
  <c r="Y138" i="162"/>
  <c r="Y105" i="162"/>
  <c r="Z105" i="162"/>
  <c r="Y115" i="162"/>
  <c r="Z115" i="162"/>
  <c r="Y157" i="162"/>
  <c r="Z157" i="162"/>
  <c r="Y156" i="162"/>
  <c r="Z156" i="162"/>
  <c r="Y158" i="162"/>
  <c r="Z158" i="162"/>
  <c r="Z93" i="162"/>
  <c r="Y116" i="162"/>
  <c r="Z116" i="162"/>
  <c r="Y89" i="162"/>
  <c r="Z89" i="162"/>
  <c r="Z140" i="162"/>
  <c r="Y140" i="162"/>
  <c r="Y122" i="162"/>
  <c r="Z122" i="162"/>
  <c r="Y134" i="162"/>
  <c r="Z134" i="162"/>
  <c r="Y88" i="162"/>
  <c r="Z88" i="162"/>
  <c r="Y111" i="162"/>
  <c r="Z111" i="162"/>
  <c r="Z139" i="162"/>
  <c r="Y139" i="162"/>
  <c r="Y124" i="162"/>
  <c r="Z124" i="162"/>
  <c r="Y107" i="162"/>
  <c r="Z107" i="162"/>
  <c r="Y120" i="162"/>
  <c r="Z120" i="162"/>
  <c r="Y112" i="162"/>
  <c r="Z112" i="162"/>
  <c r="Y91" i="162"/>
  <c r="Z91" i="162"/>
  <c r="Y114" i="162"/>
  <c r="Z114" i="162"/>
  <c r="Y113" i="162"/>
  <c r="Z113" i="162"/>
  <c r="Y109" i="162"/>
  <c r="Z109" i="162"/>
  <c r="Y123" i="162"/>
  <c r="Z123" i="162"/>
  <c r="Y129" i="162"/>
  <c r="Z129" i="162"/>
  <c r="Y125" i="162"/>
  <c r="Z125" i="162"/>
  <c r="Z20" i="162"/>
  <c r="Y20" i="162"/>
  <c r="Y127" i="162"/>
  <c r="Z127" i="162"/>
  <c r="Y141" i="162"/>
  <c r="Z141" i="162"/>
  <c r="Y137" i="162"/>
  <c r="Z137" i="162"/>
  <c r="Y128" i="162"/>
  <c r="Z128" i="162"/>
  <c r="A95" i="162"/>
  <c r="R94" i="162"/>
  <c r="T94" i="162"/>
  <c r="V94" i="162"/>
  <c r="X94" i="162"/>
  <c r="Z94" i="162"/>
  <c r="AB94" i="162"/>
  <c r="AD94" i="162"/>
  <c r="AF94" i="162"/>
  <c r="S94" i="162"/>
  <c r="U94" i="162"/>
  <c r="W94" i="162"/>
  <c r="Y94" i="162"/>
  <c r="AA94" i="162"/>
  <c r="AC94" i="162"/>
  <c r="AE94" i="162"/>
  <c r="AG94" i="162"/>
  <c r="Y189" i="162" l="1"/>
  <c r="Z189" i="162"/>
  <c r="A190" i="162"/>
  <c r="S189" i="162"/>
  <c r="U189" i="162"/>
  <c r="W189" i="162"/>
  <c r="AA189" i="162"/>
  <c r="AD189" i="162"/>
  <c r="AF189" i="162"/>
  <c r="R189" i="162"/>
  <c r="V189" i="162"/>
  <c r="AC189" i="162"/>
  <c r="AG189" i="162"/>
  <c r="T189" i="162"/>
  <c r="AE189" i="162"/>
  <c r="X189" i="162"/>
  <c r="AB189" i="162"/>
  <c r="A96" i="162"/>
  <c r="A98" i="162" s="1"/>
  <c r="A100" i="162" s="1"/>
  <c r="R95" i="162"/>
  <c r="T95" i="162"/>
  <c r="V95" i="162"/>
  <c r="X95" i="162"/>
  <c r="Z95" i="162"/>
  <c r="AB95" i="162"/>
  <c r="AD95" i="162"/>
  <c r="AF95" i="162"/>
  <c r="S95" i="162"/>
  <c r="U95" i="162"/>
  <c r="W95" i="162"/>
  <c r="Y95" i="162"/>
  <c r="AA95" i="162"/>
  <c r="AC95" i="162"/>
  <c r="AE95" i="162"/>
  <c r="AG95" i="162"/>
  <c r="Y190" i="162" l="1"/>
  <c r="Z190" i="162"/>
  <c r="A191" i="162"/>
  <c r="R190" i="162"/>
  <c r="T190" i="162"/>
  <c r="V190" i="162"/>
  <c r="X190" i="162"/>
  <c r="AC190" i="162"/>
  <c r="AE190" i="162"/>
  <c r="AG190" i="162"/>
  <c r="U190" i="162"/>
  <c r="AA190" i="162"/>
  <c r="AF190" i="162"/>
  <c r="W190" i="162"/>
  <c r="S190" i="162"/>
  <c r="AD190" i="162"/>
  <c r="AB190" i="162"/>
  <c r="Y191" i="162" l="1"/>
  <c r="Z191" i="162"/>
  <c r="A192" i="162"/>
  <c r="S191" i="162"/>
  <c r="U191" i="162"/>
  <c r="W191" i="162"/>
  <c r="AA191" i="162"/>
  <c r="AD191" i="162"/>
  <c r="AF191" i="162"/>
  <c r="T191" i="162"/>
  <c r="X191" i="162"/>
  <c r="AE191" i="162"/>
  <c r="R191" i="162"/>
  <c r="AC191" i="162"/>
  <c r="V191" i="162"/>
  <c r="AG191" i="162"/>
  <c r="AB191" i="162"/>
  <c r="Y192" i="162" l="1"/>
  <c r="Z192" i="162"/>
  <c r="A193" i="162"/>
  <c r="R192" i="162"/>
  <c r="T192" i="162"/>
  <c r="V192" i="162"/>
  <c r="X192" i="162"/>
  <c r="AC192" i="162"/>
  <c r="AE192" i="162"/>
  <c r="AG192" i="162"/>
  <c r="S192" i="162"/>
  <c r="W192" i="162"/>
  <c r="AD192" i="162"/>
  <c r="U192" i="162"/>
  <c r="AF192" i="162"/>
  <c r="AA192" i="162"/>
  <c r="AB192" i="162"/>
  <c r="Y193" i="162" l="1"/>
  <c r="Z193" i="162"/>
  <c r="A194" i="162"/>
  <c r="S193" i="162"/>
  <c r="U193" i="162"/>
  <c r="W193" i="162"/>
  <c r="AA193" i="162"/>
  <c r="AD193" i="162"/>
  <c r="AF193" i="162"/>
  <c r="R193" i="162"/>
  <c r="V193" i="162"/>
  <c r="AC193" i="162"/>
  <c r="AG193" i="162"/>
  <c r="X193" i="162"/>
  <c r="T193" i="162"/>
  <c r="AE193" i="162"/>
  <c r="AB193" i="162"/>
  <c r="Y194" i="162" l="1"/>
  <c r="Z194" i="162"/>
  <c r="A195" i="162"/>
  <c r="R194" i="162"/>
  <c r="T194" i="162"/>
  <c r="V194" i="162"/>
  <c r="X194" i="162"/>
  <c r="AC194" i="162"/>
  <c r="AE194" i="162"/>
  <c r="AG194" i="162"/>
  <c r="U194" i="162"/>
  <c r="AA194" i="162"/>
  <c r="AF194" i="162"/>
  <c r="S194" i="162"/>
  <c r="AD194" i="162"/>
  <c r="W194" i="162"/>
  <c r="AB194" i="162"/>
  <c r="Y195" i="162" l="1"/>
  <c r="Z195" i="162"/>
  <c r="A196" i="162"/>
  <c r="S195" i="162"/>
  <c r="U195" i="162"/>
  <c r="W195" i="162"/>
  <c r="AA195" i="162"/>
  <c r="AD195" i="162"/>
  <c r="AF195" i="162"/>
  <c r="T195" i="162"/>
  <c r="X195" i="162"/>
  <c r="AE195" i="162"/>
  <c r="V195" i="162"/>
  <c r="AG195" i="162"/>
  <c r="R195" i="162"/>
  <c r="AC195" i="162"/>
  <c r="AB195" i="162"/>
  <c r="Y196" i="162" l="1"/>
  <c r="Z196" i="162"/>
  <c r="A197" i="162"/>
  <c r="R196" i="162"/>
  <c r="T196" i="162"/>
  <c r="V196" i="162"/>
  <c r="X196" i="162"/>
  <c r="AC196" i="162"/>
  <c r="AE196" i="162"/>
  <c r="AG196" i="162"/>
  <c r="S196" i="162"/>
  <c r="W196" i="162"/>
  <c r="AD196" i="162"/>
  <c r="AA196" i="162"/>
  <c r="U196" i="162"/>
  <c r="AF196" i="162"/>
  <c r="AB196" i="162"/>
  <c r="Y197" i="162" l="1"/>
  <c r="Z197" i="162"/>
  <c r="A198" i="162"/>
  <c r="R197" i="162"/>
  <c r="T197" i="162"/>
  <c r="V197" i="162"/>
  <c r="X197" i="162"/>
  <c r="AC197" i="162"/>
  <c r="AE197" i="162"/>
  <c r="AG197" i="162"/>
  <c r="U197" i="162"/>
  <c r="AA197" i="162"/>
  <c r="AF197" i="162"/>
  <c r="S197" i="162"/>
  <c r="AD197" i="162"/>
  <c r="W197" i="162"/>
  <c r="AB197" i="162"/>
  <c r="Y198" i="162" l="1"/>
  <c r="Z198" i="162"/>
  <c r="A199" i="162"/>
  <c r="S198" i="162"/>
  <c r="U198" i="162"/>
  <c r="W198" i="162"/>
  <c r="AA198" i="162"/>
  <c r="AD198" i="162"/>
  <c r="AF198" i="162"/>
  <c r="T198" i="162"/>
  <c r="X198" i="162"/>
  <c r="AE198" i="162"/>
  <c r="V198" i="162"/>
  <c r="AG198" i="162"/>
  <c r="R198" i="162"/>
  <c r="AC198" i="162"/>
  <c r="AB198" i="162"/>
  <c r="Y199" i="162" l="1"/>
  <c r="Z199" i="162"/>
  <c r="A200" i="162"/>
  <c r="R199" i="162"/>
  <c r="T199" i="162"/>
  <c r="V199" i="162"/>
  <c r="X199" i="162"/>
  <c r="AC199" i="162"/>
  <c r="AE199" i="162"/>
  <c r="AG199" i="162"/>
  <c r="S199" i="162"/>
  <c r="W199" i="162"/>
  <c r="AD199" i="162"/>
  <c r="AA199" i="162"/>
  <c r="U199" i="162"/>
  <c r="AF199" i="162"/>
  <c r="AB199" i="162"/>
  <c r="Y200" i="162" l="1"/>
  <c r="Z200" i="162"/>
  <c r="A201" i="162"/>
  <c r="R200" i="162"/>
  <c r="T200" i="162"/>
  <c r="V200" i="162"/>
  <c r="X200" i="162"/>
  <c r="AC200" i="162"/>
  <c r="AE200" i="162"/>
  <c r="AG200" i="162"/>
  <c r="S200" i="162"/>
  <c r="W200" i="162"/>
  <c r="AD200" i="162"/>
  <c r="U200" i="162"/>
  <c r="AA200" i="162"/>
  <c r="AF200" i="162"/>
  <c r="AB200" i="162"/>
  <c r="Y201" i="162" l="1"/>
  <c r="Z201" i="162"/>
  <c r="A202" i="162"/>
  <c r="S201" i="162"/>
  <c r="U201" i="162"/>
  <c r="W201" i="162"/>
  <c r="AA201" i="162"/>
  <c r="AD201" i="162"/>
  <c r="AF201" i="162"/>
  <c r="R201" i="162"/>
  <c r="V201" i="162"/>
  <c r="AC201" i="162"/>
  <c r="AG201" i="162"/>
  <c r="T201" i="162"/>
  <c r="X201" i="162"/>
  <c r="AE201" i="162"/>
  <c r="AB201" i="162"/>
  <c r="Y202" i="162" l="1"/>
  <c r="Z202" i="162"/>
  <c r="A203" i="162"/>
  <c r="R202" i="162"/>
  <c r="T202" i="162"/>
  <c r="V202" i="162"/>
  <c r="X202" i="162"/>
  <c r="AC202" i="162"/>
  <c r="AE202" i="162"/>
  <c r="AG202" i="162"/>
  <c r="U202" i="162"/>
  <c r="AA202" i="162"/>
  <c r="AF202" i="162"/>
  <c r="S202" i="162"/>
  <c r="W202" i="162"/>
  <c r="AD202" i="162"/>
  <c r="AB202" i="162"/>
  <c r="Y203" i="162" l="1"/>
  <c r="Z203" i="162"/>
  <c r="A204" i="162"/>
  <c r="S203" i="162"/>
  <c r="U203" i="162"/>
  <c r="W203" i="162"/>
  <c r="AA203" i="162"/>
  <c r="AD203" i="162"/>
  <c r="AF203" i="162"/>
  <c r="T203" i="162"/>
  <c r="X203" i="162"/>
  <c r="AE203" i="162"/>
  <c r="R203" i="162"/>
  <c r="AC203" i="162"/>
  <c r="V203" i="162"/>
  <c r="AG203" i="162"/>
  <c r="AB203" i="162"/>
  <c r="Y204" i="162" l="1"/>
  <c r="Z204" i="162"/>
  <c r="A205" i="162"/>
  <c r="R204" i="162"/>
  <c r="T204" i="162"/>
  <c r="V204" i="162"/>
  <c r="X204" i="162"/>
  <c r="AC204" i="162"/>
  <c r="AE204" i="162"/>
  <c r="AG204" i="162"/>
  <c r="S204" i="162"/>
  <c r="W204" i="162"/>
  <c r="AD204" i="162"/>
  <c r="U204" i="162"/>
  <c r="AF204" i="162"/>
  <c r="AA204" i="162"/>
  <c r="AB204" i="162"/>
  <c r="Y205" i="162" l="1"/>
  <c r="Z205" i="162"/>
  <c r="A206" i="162"/>
  <c r="S205" i="162"/>
  <c r="U205" i="162"/>
  <c r="W205" i="162"/>
  <c r="AA205" i="162"/>
  <c r="AD205" i="162"/>
  <c r="AF205" i="162"/>
  <c r="R205" i="162"/>
  <c r="V205" i="162"/>
  <c r="AC205" i="162"/>
  <c r="AG205" i="162"/>
  <c r="X205" i="162"/>
  <c r="T205" i="162"/>
  <c r="AE205" i="162"/>
  <c r="AB205" i="162"/>
  <c r="Y206" i="162" l="1"/>
  <c r="Z206" i="162"/>
  <c r="A207" i="162"/>
  <c r="R206" i="162"/>
  <c r="T206" i="162"/>
  <c r="V206" i="162"/>
  <c r="X206" i="162"/>
  <c r="AC206" i="162"/>
  <c r="AE206" i="162"/>
  <c r="AG206" i="162"/>
  <c r="U206" i="162"/>
  <c r="AA206" i="162"/>
  <c r="AF206" i="162"/>
  <c r="S206" i="162"/>
  <c r="W206" i="162"/>
  <c r="AD206" i="162"/>
  <c r="AB206" i="162"/>
  <c r="Y207" i="162" l="1"/>
  <c r="Z207" i="162"/>
  <c r="A208" i="162"/>
  <c r="S207" i="162"/>
  <c r="U207" i="162"/>
  <c r="W207" i="162"/>
  <c r="AA207" i="162"/>
  <c r="AD207" i="162"/>
  <c r="AF207" i="162"/>
  <c r="T207" i="162"/>
  <c r="X207" i="162"/>
  <c r="AE207" i="162"/>
  <c r="R207" i="162"/>
  <c r="V207" i="162"/>
  <c r="AC207" i="162"/>
  <c r="AG207" i="162"/>
  <c r="AB207" i="162"/>
  <c r="Y208" i="162" l="1"/>
  <c r="Z208" i="162"/>
  <c r="A209" i="162"/>
  <c r="R208" i="162"/>
  <c r="T208" i="162"/>
  <c r="V208" i="162"/>
  <c r="X208" i="162"/>
  <c r="AC208" i="162"/>
  <c r="AE208" i="162"/>
  <c r="AG208" i="162"/>
  <c r="S208" i="162"/>
  <c r="W208" i="162"/>
  <c r="AD208" i="162"/>
  <c r="U208" i="162"/>
  <c r="AA208" i="162"/>
  <c r="AF208" i="162"/>
  <c r="AB208" i="162"/>
  <c r="Y209" i="162" l="1"/>
  <c r="Z209" i="162"/>
  <c r="A210" i="162"/>
  <c r="S209" i="162"/>
  <c r="U209" i="162"/>
  <c r="W209" i="162"/>
  <c r="AA209" i="162"/>
  <c r="AD209" i="162"/>
  <c r="AF209" i="162"/>
  <c r="R209" i="162"/>
  <c r="V209" i="162"/>
  <c r="AC209" i="162"/>
  <c r="AG209" i="162"/>
  <c r="T209" i="162"/>
  <c r="X209" i="162"/>
  <c r="AE209" i="162"/>
  <c r="AB209" i="162"/>
  <c r="Y210" i="162" l="1"/>
  <c r="Z210" i="162"/>
  <c r="A211" i="162"/>
  <c r="R210" i="162"/>
  <c r="T210" i="162"/>
  <c r="V210" i="162"/>
  <c r="X210" i="162"/>
  <c r="AC210" i="162"/>
  <c r="AE210" i="162"/>
  <c r="AG210" i="162"/>
  <c r="U210" i="162"/>
  <c r="AA210" i="162"/>
  <c r="AF210" i="162"/>
  <c r="S210" i="162"/>
  <c r="W210" i="162"/>
  <c r="AD210" i="162"/>
  <c r="AB210" i="162"/>
  <c r="Y211" i="162" l="1"/>
  <c r="Z211" i="162"/>
  <c r="A212" i="162"/>
  <c r="S211" i="162"/>
  <c r="U211" i="162"/>
  <c r="W211" i="162"/>
  <c r="AA211" i="162"/>
  <c r="AD211" i="162"/>
  <c r="AF211" i="162"/>
  <c r="T211" i="162"/>
  <c r="X211" i="162"/>
  <c r="AE211" i="162"/>
  <c r="R211" i="162"/>
  <c r="V211" i="162"/>
  <c r="AC211" i="162"/>
  <c r="AG211" i="162"/>
  <c r="AB211" i="162"/>
  <c r="Y212" i="162" l="1"/>
  <c r="Z212" i="162"/>
  <c r="A213" i="162"/>
  <c r="R212" i="162"/>
  <c r="T212" i="162"/>
  <c r="V212" i="162"/>
  <c r="X212" i="162"/>
  <c r="AC212" i="162"/>
  <c r="AE212" i="162"/>
  <c r="AG212" i="162"/>
  <c r="U212" i="162"/>
  <c r="AA212" i="162"/>
  <c r="AF212" i="162"/>
  <c r="W212" i="162"/>
  <c r="S212" i="162"/>
  <c r="AD212" i="162"/>
  <c r="AB212" i="162"/>
  <c r="Y213" i="162" l="1"/>
  <c r="Z213" i="162"/>
  <c r="A214" i="162"/>
  <c r="S213" i="162"/>
  <c r="U213" i="162"/>
  <c r="W213" i="162"/>
  <c r="AA213" i="162"/>
  <c r="AD213" i="162"/>
  <c r="AF213" i="162"/>
  <c r="T213" i="162"/>
  <c r="X213" i="162"/>
  <c r="AE213" i="162"/>
  <c r="R213" i="162"/>
  <c r="AC213" i="162"/>
  <c r="V213" i="162"/>
  <c r="AG213" i="162"/>
  <c r="AB213" i="162"/>
  <c r="Y214" i="162" l="1"/>
  <c r="Z214" i="162"/>
  <c r="A215" i="162"/>
  <c r="R214" i="162"/>
  <c r="T214" i="162"/>
  <c r="S214" i="162"/>
  <c r="V214" i="162"/>
  <c r="X214" i="162"/>
  <c r="AC214" i="162"/>
  <c r="AE214" i="162"/>
  <c r="AG214" i="162"/>
  <c r="U214" i="162"/>
  <c r="AA214" i="162"/>
  <c r="AF214" i="162"/>
  <c r="W214" i="162"/>
  <c r="AD214" i="162"/>
  <c r="AB214" i="162"/>
  <c r="Y215" i="162" l="1"/>
  <c r="Z215" i="162"/>
  <c r="A216" i="162"/>
  <c r="S215" i="162"/>
  <c r="U215" i="162"/>
  <c r="W215" i="162"/>
  <c r="AA215" i="162"/>
  <c r="AD215" i="162"/>
  <c r="AF215" i="162"/>
  <c r="T215" i="162"/>
  <c r="X215" i="162"/>
  <c r="AE215" i="162"/>
  <c r="R215" i="162"/>
  <c r="V215" i="162"/>
  <c r="AC215" i="162"/>
  <c r="AG215" i="162"/>
  <c r="AB215" i="162"/>
  <c r="Y216" i="162" l="1"/>
  <c r="Z216" i="162"/>
  <c r="A217" i="162"/>
  <c r="R216" i="162"/>
  <c r="T216" i="162"/>
  <c r="V216" i="162"/>
  <c r="X216" i="162"/>
  <c r="AC216" i="162"/>
  <c r="AE216" i="162"/>
  <c r="AG216" i="162"/>
  <c r="S216" i="162"/>
  <c r="W216" i="162"/>
  <c r="AD216" i="162"/>
  <c r="U216" i="162"/>
  <c r="AA216" i="162"/>
  <c r="AF216" i="162"/>
  <c r="AB216" i="162"/>
  <c r="Y217" i="162" l="1"/>
  <c r="Z217" i="162"/>
  <c r="A218" i="162"/>
  <c r="S217" i="162"/>
  <c r="U217" i="162"/>
  <c r="W217" i="162"/>
  <c r="AA217" i="162"/>
  <c r="AD217" i="162"/>
  <c r="AF217" i="162"/>
  <c r="R217" i="162"/>
  <c r="V217" i="162"/>
  <c r="AC217" i="162"/>
  <c r="AG217" i="162"/>
  <c r="T217" i="162"/>
  <c r="X217" i="162"/>
  <c r="AE217" i="162"/>
  <c r="AB217" i="162"/>
  <c r="Y218" i="162" l="1"/>
  <c r="Z218" i="162"/>
  <c r="A219" i="162"/>
  <c r="R218" i="162"/>
  <c r="T218" i="162"/>
  <c r="V218" i="162"/>
  <c r="X218" i="162"/>
  <c r="AC218" i="162"/>
  <c r="AE218" i="162"/>
  <c r="AG218" i="162"/>
  <c r="S218" i="162"/>
  <c r="W218" i="162"/>
  <c r="AD218" i="162"/>
  <c r="U218" i="162"/>
  <c r="AF218" i="162"/>
  <c r="AA218" i="162"/>
  <c r="AB218" i="162"/>
  <c r="Y219" i="162" l="1"/>
  <c r="Z219" i="162"/>
  <c r="A220" i="162"/>
  <c r="S219" i="162"/>
  <c r="U219" i="162"/>
  <c r="W219" i="162"/>
  <c r="AA219" i="162"/>
  <c r="AD219" i="162"/>
  <c r="AF219" i="162"/>
  <c r="R219" i="162"/>
  <c r="V219" i="162"/>
  <c r="AC219" i="162"/>
  <c r="AG219" i="162"/>
  <c r="X219" i="162"/>
  <c r="T219" i="162"/>
  <c r="AE219" i="162"/>
  <c r="AB219" i="162"/>
  <c r="Y220" i="162" l="1"/>
  <c r="Z220" i="162"/>
  <c r="A221" i="162"/>
  <c r="R220" i="162"/>
  <c r="T220" i="162"/>
  <c r="V220" i="162"/>
  <c r="X220" i="162"/>
  <c r="AC220" i="162"/>
  <c r="AE220" i="162"/>
  <c r="AG220" i="162"/>
  <c r="U220" i="162"/>
  <c r="AA220" i="162"/>
  <c r="AF220" i="162"/>
  <c r="S220" i="162"/>
  <c r="AD220" i="162"/>
  <c r="W220" i="162"/>
  <c r="AB220" i="162"/>
  <c r="Y221" i="162" l="1"/>
  <c r="Z221" i="162"/>
  <c r="A222" i="162"/>
  <c r="S221" i="162"/>
  <c r="U221" i="162"/>
  <c r="W221" i="162"/>
  <c r="AA221" i="162"/>
  <c r="AD221" i="162"/>
  <c r="AF221" i="162"/>
  <c r="T221" i="162"/>
  <c r="X221" i="162"/>
  <c r="AE221" i="162"/>
  <c r="V221" i="162"/>
  <c r="AG221" i="162"/>
  <c r="R221" i="162"/>
  <c r="AC221" i="162"/>
  <c r="AB221" i="162"/>
  <c r="Y222" i="162" l="1"/>
  <c r="Z222" i="162"/>
  <c r="A223" i="162"/>
  <c r="R222" i="162"/>
  <c r="T222" i="162"/>
  <c r="V222" i="162"/>
  <c r="X222" i="162"/>
  <c r="AC222" i="162"/>
  <c r="AE222" i="162"/>
  <c r="AG222" i="162"/>
  <c r="S222" i="162"/>
  <c r="W222" i="162"/>
  <c r="AD222" i="162"/>
  <c r="AA222" i="162"/>
  <c r="U222" i="162"/>
  <c r="AF222" i="162"/>
  <c r="AB222" i="162"/>
  <c r="Y223" i="162" l="1"/>
  <c r="Z223" i="162"/>
  <c r="A224" i="162"/>
  <c r="S223" i="162"/>
  <c r="U223" i="162"/>
  <c r="W223" i="162"/>
  <c r="AA223" i="162"/>
  <c r="AD223" i="162"/>
  <c r="AF223" i="162"/>
  <c r="R223" i="162"/>
  <c r="V223" i="162"/>
  <c r="AC223" i="162"/>
  <c r="AG223" i="162"/>
  <c r="T223" i="162"/>
  <c r="AE223" i="162"/>
  <c r="X223" i="162"/>
  <c r="AB223" i="162"/>
  <c r="Y224" i="162" l="1"/>
  <c r="Z224" i="162"/>
  <c r="A225" i="162"/>
  <c r="S224" i="162"/>
  <c r="U224" i="162"/>
  <c r="W224" i="162"/>
  <c r="AA224" i="162"/>
  <c r="AD224" i="162"/>
  <c r="AF224" i="162"/>
  <c r="T224" i="162"/>
  <c r="X224" i="162"/>
  <c r="AE224" i="162"/>
  <c r="R224" i="162"/>
  <c r="AC224" i="162"/>
  <c r="V224" i="162"/>
  <c r="AG224" i="162"/>
  <c r="AB224" i="162"/>
  <c r="A226" i="162" l="1"/>
  <c r="R225" i="162"/>
  <c r="T225" i="162"/>
  <c r="V225" i="162"/>
  <c r="X225" i="162"/>
  <c r="Z225" i="162"/>
  <c r="AB225" i="162"/>
  <c r="AD225" i="162"/>
  <c r="AF225" i="162"/>
  <c r="S225" i="162"/>
  <c r="W225" i="162"/>
  <c r="AA225" i="162"/>
  <c r="AE225" i="162"/>
  <c r="U225" i="162"/>
  <c r="AC225" i="162"/>
  <c r="Y225" i="162"/>
  <c r="AG225" i="162"/>
  <c r="A227" i="162" l="1"/>
  <c r="R226" i="162"/>
  <c r="T226" i="162"/>
  <c r="V226" i="162"/>
  <c r="X226" i="162"/>
  <c r="Z226" i="162"/>
  <c r="AB226" i="162"/>
  <c r="AD226" i="162"/>
  <c r="AF226" i="162"/>
  <c r="S226" i="162"/>
  <c r="W226" i="162"/>
  <c r="AA226" i="162"/>
  <c r="AE226" i="162"/>
  <c r="U226" i="162"/>
  <c r="AC226" i="162"/>
  <c r="Y226" i="162"/>
  <c r="AG226" i="162"/>
  <c r="A228" i="162" l="1"/>
  <c r="R227" i="162"/>
  <c r="T227" i="162"/>
  <c r="V227" i="162"/>
  <c r="X227" i="162"/>
  <c r="Z227" i="162"/>
  <c r="AB227" i="162"/>
  <c r="AD227" i="162"/>
  <c r="AF227" i="162"/>
  <c r="S227" i="162"/>
  <c r="W227" i="162"/>
  <c r="AA227" i="162"/>
  <c r="AE227" i="162"/>
  <c r="U227" i="162"/>
  <c r="AC227" i="162"/>
  <c r="Y227" i="162"/>
  <c r="AG227" i="162"/>
  <c r="A229" i="162" l="1"/>
  <c r="R228" i="162"/>
  <c r="T228" i="162"/>
  <c r="V228" i="162"/>
  <c r="X228" i="162"/>
  <c r="Z228" i="162"/>
  <c r="AB228" i="162"/>
  <c r="AD228" i="162"/>
  <c r="AF228" i="162"/>
  <c r="S228" i="162"/>
  <c r="W228" i="162"/>
  <c r="AA228" i="162"/>
  <c r="AE228" i="162"/>
  <c r="U228" i="162"/>
  <c r="AC228" i="162"/>
  <c r="Y228" i="162"/>
  <c r="AG228" i="162"/>
  <c r="A230" i="162" l="1"/>
  <c r="R229" i="162"/>
  <c r="T229" i="162"/>
  <c r="V229" i="162"/>
  <c r="X229" i="162"/>
  <c r="Z229" i="162"/>
  <c r="AB229" i="162"/>
  <c r="AD229" i="162"/>
  <c r="AF229" i="162"/>
  <c r="S229" i="162"/>
  <c r="W229" i="162"/>
  <c r="AA229" i="162"/>
  <c r="AE229" i="162"/>
  <c r="U229" i="162"/>
  <c r="AC229" i="162"/>
  <c r="Y229" i="162"/>
  <c r="AG229" i="162"/>
  <c r="A231" i="162" l="1"/>
  <c r="R230" i="162"/>
  <c r="T230" i="162"/>
  <c r="V230" i="162"/>
  <c r="X230" i="162"/>
  <c r="Z230" i="162"/>
  <c r="S230" i="162"/>
  <c r="W230" i="162"/>
  <c r="AA230" i="162"/>
  <c r="AC230" i="162"/>
  <c r="AE230" i="162"/>
  <c r="AG230" i="162"/>
  <c r="U230" i="162"/>
  <c r="AB230" i="162"/>
  <c r="AF230" i="162"/>
  <c r="Y230" i="162"/>
  <c r="AD230" i="162"/>
  <c r="A232" i="162" l="1"/>
  <c r="S231" i="162"/>
  <c r="U231" i="162"/>
  <c r="W231" i="162"/>
  <c r="Y231" i="162"/>
  <c r="AA231" i="162"/>
  <c r="AC231" i="162"/>
  <c r="AE231" i="162"/>
  <c r="AG231" i="162"/>
  <c r="T231" i="162"/>
  <c r="X231" i="162"/>
  <c r="AB231" i="162"/>
  <c r="AF231" i="162"/>
  <c r="R231" i="162"/>
  <c r="Z231" i="162"/>
  <c r="V231" i="162"/>
  <c r="AD231" i="162"/>
  <c r="A233" i="162" l="1"/>
  <c r="S232" i="162"/>
  <c r="U232" i="162"/>
  <c r="W232" i="162"/>
  <c r="Y232" i="162"/>
  <c r="AA232" i="162"/>
  <c r="AC232" i="162"/>
  <c r="AE232" i="162"/>
  <c r="AG232" i="162"/>
  <c r="T232" i="162"/>
  <c r="X232" i="162"/>
  <c r="AB232" i="162"/>
  <c r="AF232" i="162"/>
  <c r="R232" i="162"/>
  <c r="Z232" i="162"/>
  <c r="V232" i="162"/>
  <c r="AD232" i="162"/>
  <c r="A234" i="162" l="1"/>
  <c r="S233" i="162"/>
  <c r="U233" i="162"/>
  <c r="W233" i="162"/>
  <c r="Y233" i="162"/>
  <c r="AA233" i="162"/>
  <c r="AC233" i="162"/>
  <c r="AE233" i="162"/>
  <c r="AG233" i="162"/>
  <c r="T233" i="162"/>
  <c r="X233" i="162"/>
  <c r="AB233" i="162"/>
  <c r="AF233" i="162"/>
  <c r="R233" i="162"/>
  <c r="Z233" i="162"/>
  <c r="V233" i="162"/>
  <c r="AD233" i="162"/>
  <c r="A235" i="162" l="1"/>
  <c r="S234" i="162"/>
  <c r="U234" i="162"/>
  <c r="W234" i="162"/>
  <c r="Y234" i="162"/>
  <c r="AA234" i="162"/>
  <c r="AC234" i="162"/>
  <c r="AE234" i="162"/>
  <c r="AG234" i="162"/>
  <c r="T234" i="162"/>
  <c r="X234" i="162"/>
  <c r="AB234" i="162"/>
  <c r="AF234" i="162"/>
  <c r="R234" i="162"/>
  <c r="Z234" i="162"/>
  <c r="V234" i="162"/>
  <c r="AD234" i="162"/>
  <c r="A236" i="162" l="1"/>
  <c r="S235" i="162"/>
  <c r="U235" i="162"/>
  <c r="W235" i="162"/>
  <c r="Y235" i="162"/>
  <c r="AA235" i="162"/>
  <c r="AC235" i="162"/>
  <c r="AE235" i="162"/>
  <c r="AG235" i="162"/>
  <c r="T235" i="162"/>
  <c r="X235" i="162"/>
  <c r="AB235" i="162"/>
  <c r="AF235" i="162"/>
  <c r="V235" i="162"/>
  <c r="AD235" i="162"/>
  <c r="Z235" i="162"/>
  <c r="R235" i="162"/>
  <c r="A237" i="162" l="1"/>
  <c r="S236" i="162"/>
  <c r="U236" i="162"/>
  <c r="W236" i="162"/>
  <c r="Y236" i="162"/>
  <c r="AA236" i="162"/>
  <c r="AC236" i="162"/>
  <c r="AE236" i="162"/>
  <c r="AG236" i="162"/>
  <c r="T236" i="162"/>
  <c r="X236" i="162"/>
  <c r="AB236" i="162"/>
  <c r="AF236" i="162"/>
  <c r="V236" i="162"/>
  <c r="AD236" i="162"/>
  <c r="Z236" i="162"/>
  <c r="R236" i="162"/>
  <c r="A238" i="162" l="1"/>
  <c r="S237" i="162"/>
  <c r="U237" i="162"/>
  <c r="W237" i="162"/>
  <c r="Y237" i="162"/>
  <c r="AA237" i="162"/>
  <c r="AC237" i="162"/>
  <c r="AE237" i="162"/>
  <c r="AG237" i="162"/>
  <c r="T237" i="162"/>
  <c r="X237" i="162"/>
  <c r="AB237" i="162"/>
  <c r="AF237" i="162"/>
  <c r="V237" i="162"/>
  <c r="AD237" i="162"/>
  <c r="Z237" i="162"/>
  <c r="R237" i="162"/>
  <c r="Y238" i="162" l="1"/>
  <c r="Z238" i="162"/>
  <c r="A239" i="162"/>
  <c r="S238" i="162"/>
  <c r="U238" i="162"/>
  <c r="W238" i="162"/>
  <c r="AA238" i="162"/>
  <c r="AD238" i="162"/>
  <c r="AF238" i="162"/>
  <c r="T238" i="162"/>
  <c r="X238" i="162"/>
  <c r="AE238" i="162"/>
  <c r="V238" i="162"/>
  <c r="AG238" i="162"/>
  <c r="AC238" i="162"/>
  <c r="R238" i="162"/>
  <c r="AB238" i="162"/>
  <c r="Y239" i="162" l="1"/>
  <c r="Z239" i="162"/>
  <c r="A240" i="162"/>
  <c r="R239" i="162"/>
  <c r="T239" i="162"/>
  <c r="V239" i="162"/>
  <c r="X239" i="162"/>
  <c r="AC239" i="162"/>
  <c r="AE239" i="162"/>
  <c r="AG239" i="162"/>
  <c r="S239" i="162"/>
  <c r="W239" i="162"/>
  <c r="AD239" i="162"/>
  <c r="AA239" i="162"/>
  <c r="AF239" i="162"/>
  <c r="U239" i="162"/>
  <c r="AB239" i="162"/>
  <c r="A241" i="162" l="1"/>
  <c r="S240" i="162"/>
  <c r="U240" i="162"/>
  <c r="W240" i="162"/>
  <c r="Y240" i="162"/>
  <c r="AA240" i="162"/>
  <c r="AC240" i="162"/>
  <c r="AE240" i="162"/>
  <c r="AG240" i="162"/>
  <c r="R240" i="162"/>
  <c r="V240" i="162"/>
  <c r="Z240" i="162"/>
  <c r="AD240" i="162"/>
  <c r="T240" i="162"/>
  <c r="AB240" i="162"/>
  <c r="AF240" i="162"/>
  <c r="X240" i="162"/>
  <c r="Y241" i="162" l="1"/>
  <c r="Z241" i="162"/>
  <c r="A242" i="162"/>
  <c r="S241" i="162"/>
  <c r="U241" i="162"/>
  <c r="W241" i="162"/>
  <c r="AA241" i="162"/>
  <c r="AD241" i="162"/>
  <c r="AF241" i="162"/>
  <c r="R241" i="162"/>
  <c r="V241" i="162"/>
  <c r="AC241" i="162"/>
  <c r="AG241" i="162"/>
  <c r="T241" i="162"/>
  <c r="AE241" i="162"/>
  <c r="X241" i="162"/>
  <c r="AB241" i="162"/>
  <c r="Y242" i="162" l="1"/>
  <c r="Z242" i="162"/>
  <c r="A243" i="162"/>
  <c r="R242" i="162"/>
  <c r="T242" i="162"/>
  <c r="V242" i="162"/>
  <c r="X242" i="162"/>
  <c r="AC242" i="162"/>
  <c r="AE242" i="162"/>
  <c r="AG242" i="162"/>
  <c r="U242" i="162"/>
  <c r="AA242" i="162"/>
  <c r="AF242" i="162"/>
  <c r="W242" i="162"/>
  <c r="S242" i="162"/>
  <c r="AD242" i="162"/>
  <c r="AB242" i="162"/>
  <c r="Y243" i="162" l="1"/>
  <c r="Z243" i="162"/>
  <c r="A244" i="162"/>
  <c r="S243" i="162"/>
  <c r="U243" i="162"/>
  <c r="W243" i="162"/>
  <c r="AA243" i="162"/>
  <c r="AD243" i="162"/>
  <c r="AF243" i="162"/>
  <c r="T243" i="162"/>
  <c r="X243" i="162"/>
  <c r="AE243" i="162"/>
  <c r="R243" i="162"/>
  <c r="AC243" i="162"/>
  <c r="V243" i="162"/>
  <c r="AG243" i="162"/>
  <c r="AB243" i="162"/>
  <c r="S244" i="162" l="1"/>
  <c r="U244" i="162"/>
  <c r="W244" i="162"/>
  <c r="W18" i="162" s="1"/>
  <c r="Y244" i="162"/>
  <c r="Y18" i="162" s="1"/>
  <c r="AA244" i="162"/>
  <c r="AC244" i="162"/>
  <c r="AE244" i="162"/>
  <c r="AG244" i="162"/>
  <c r="T244" i="162"/>
  <c r="X244" i="162"/>
  <c r="X18" i="162" s="1"/>
  <c r="AB244" i="162"/>
  <c r="AF244" i="162"/>
  <c r="V244" i="162"/>
  <c r="AD244" i="162"/>
  <c r="Z244" i="162"/>
  <c r="Z18" i="162" s="1"/>
  <c r="R244" i="162"/>
</calcChain>
</file>

<file path=xl/sharedStrings.xml><?xml version="1.0" encoding="utf-8"?>
<sst xmlns="http://schemas.openxmlformats.org/spreadsheetml/2006/main" count="8544" uniqueCount="1707">
  <si>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</si>
  <si>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</si>
  <si>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</si>
  <si>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</si>
  <si>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</si>
  <si>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</si>
  <si>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</si>
  <si>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</si>
  <si>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</si>
  <si>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</si>
  <si>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</si>
  <si>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</si>
  <si>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</si>
  <si>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</si>
  <si>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</si>
  <si>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</si>
  <si>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</si>
  <si>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</si>
  <si>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</si>
  <si>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</si>
  <si>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</si>
  <si>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</si>
  <si>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</si>
  <si>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</si>
  <si>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</si>
  <si>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</si>
  <si>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</si>
  <si>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</si>
  <si>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</si>
  <si>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</si>
  <si>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</si>
  <si>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</si>
  <si>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</si>
  <si>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</si>
  <si>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</si>
  <si>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FUNCIONAMIENTO</t>
  </si>
  <si>
    <t>N/A</t>
  </si>
  <si>
    <t>2 0 4 5 2 MANTENIMIENTO DE BIENES MUEBLES, EQUIPOS Y ENSERES</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</si>
  <si>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</si>
  <si>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</si>
  <si>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</si>
  <si>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</si>
  <si>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</si>
  <si>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</si>
  <si>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</si>
  <si>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</si>
  <si>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</si>
  <si>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</si>
  <si>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</si>
  <si>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</si>
  <si>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</si>
  <si>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</si>
  <si>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</si>
  <si>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</si>
  <si>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</si>
  <si>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</si>
  <si>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</si>
  <si>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</si>
  <si>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</si>
  <si>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</si>
  <si>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</si>
  <si>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</si>
  <si>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</si>
  <si>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</si>
  <si>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</si>
  <si>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</si>
  <si>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</si>
  <si>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</si>
  <si>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</si>
  <si>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</si>
  <si>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</si>
  <si>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78111502
90121502</t>
  </si>
  <si>
    <t>80141625
80111502</t>
  </si>
  <si>
    <t>ENERO</t>
  </si>
  <si>
    <t>OCTUBRE</t>
  </si>
  <si>
    <t>MARZO</t>
  </si>
  <si>
    <t>MAYO</t>
  </si>
  <si>
    <t>SEPTIEMBRE</t>
  </si>
  <si>
    <t>ABRIL</t>
  </si>
  <si>
    <t>JUNIO</t>
  </si>
  <si>
    <t>FEBRERO</t>
  </si>
  <si>
    <t>AGOSTO</t>
  </si>
  <si>
    <t>Herramienta de Chat para la Función Pública</t>
  </si>
  <si>
    <t>CERTIFICADO DE RUBRO PRESUPUESTAL</t>
  </si>
  <si>
    <t>RUBRO</t>
  </si>
  <si>
    <t>FECHA DE EXPEDICION POLIZA</t>
  </si>
  <si>
    <t>SUPERVISOR</t>
  </si>
  <si>
    <t/>
  </si>
  <si>
    <t>CSF</t>
  </si>
  <si>
    <t>10</t>
  </si>
  <si>
    <t>Nación</t>
  </si>
  <si>
    <t>1</t>
  </si>
  <si>
    <t>C</t>
  </si>
  <si>
    <t>11</t>
  </si>
  <si>
    <t>5</t>
  </si>
  <si>
    <t>15</t>
  </si>
  <si>
    <t>4</t>
  </si>
  <si>
    <t>20</t>
  </si>
  <si>
    <t>3</t>
  </si>
  <si>
    <t>6</t>
  </si>
  <si>
    <t>A</t>
  </si>
  <si>
    <t>2</t>
  </si>
  <si>
    <t>0</t>
  </si>
  <si>
    <t>DESCRIPCION</t>
  </si>
  <si>
    <t>SIT</t>
  </si>
  <si>
    <t>REC</t>
  </si>
  <si>
    <t>FUENTE</t>
  </si>
  <si>
    <t>SOR
ORD</t>
  </si>
  <si>
    <t>ORD</t>
  </si>
  <si>
    <t>OBJ</t>
  </si>
  <si>
    <t>SUB
CTA</t>
  </si>
  <si>
    <t>CTA</t>
  </si>
  <si>
    <t>TIPO</t>
  </si>
  <si>
    <t>DEPARTAMENTO ADMINISTRATIVO DE LA FUNCIÓN PÚBLICA</t>
  </si>
  <si>
    <t>COMPRA DE EQUIPO</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</si>
  <si>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</si>
  <si>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</si>
  <si>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</si>
  <si>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</si>
  <si>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</si>
  <si>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</si>
  <si>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</si>
  <si>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</si>
  <si>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</si>
  <si>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COMUNICACIONES Y TRANSPORTES</t>
  </si>
  <si>
    <t>VIATICOS Y GASTOS DE VIAJE</t>
  </si>
  <si>
    <t>SERVICIOS PARA ESTIMULOS</t>
  </si>
  <si>
    <t>MATERIALES Y SUMINISTROS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</si>
  <si>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</si>
  <si>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</si>
  <si>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</si>
  <si>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</si>
  <si>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</si>
  <si>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</si>
  <si>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</si>
  <si>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</si>
  <si>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</si>
  <si>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SUBTOTAL VIATICOS Y GASTOS DE VIAJE</t>
  </si>
  <si>
    <t>Duración estimada del contrato  en meses</t>
  </si>
  <si>
    <t>8</t>
  </si>
  <si>
    <t>25</t>
  </si>
  <si>
    <t>17</t>
  </si>
  <si>
    <t>18</t>
  </si>
  <si>
    <t>23</t>
  </si>
  <si>
    <t>12</t>
  </si>
  <si>
    <t>7</t>
  </si>
  <si>
    <t>21</t>
  </si>
  <si>
    <t>NACIÓN</t>
  </si>
  <si>
    <t xml:space="preserve"> </t>
  </si>
  <si>
    <t>EDICION DE LIBROS,REVISTAS,ESCRITOS Y TRABAJOS TIPOGRAFICOS</t>
  </si>
  <si>
    <t>ADQUISICION DE LIBROS Y REVISTAS</t>
  </si>
  <si>
    <t>UTENSILIOS DE CAFETERÍA</t>
  </si>
  <si>
    <t>SUBTOTAL IMPRESOS Y PUBLICACIONES</t>
  </si>
  <si>
    <t>SERVICIOS DE CAPACITACIÓN</t>
  </si>
  <si>
    <t>EQUIPO DE COMUNICACIONES</t>
  </si>
  <si>
    <t>PAPELERÍA UTILES DE ESCRITORIO Y OFICINA (INCLUYE TONER )</t>
  </si>
  <si>
    <t>1 MES</t>
  </si>
  <si>
    <t>2 MESES</t>
  </si>
  <si>
    <t>2 0 4 4 1 COMBUSTIBLES Y LUBRICANTES</t>
  </si>
  <si>
    <t>Cantidad estimada</t>
  </si>
  <si>
    <t>Unidad de Medida</t>
  </si>
  <si>
    <t>2 0 4 6 5 SERVICIOS DE TRANSMISIÓN DE INFORMACIÓN</t>
  </si>
  <si>
    <t>OTROS COMUNICACIONES Y TRANSPORTE (MEDIOS MAGNETICOS $3.500.000)</t>
  </si>
  <si>
    <t>VALOR NETO DEL CONTRATO</t>
  </si>
  <si>
    <t xml:space="preserve">CONTRATISTA </t>
  </si>
  <si>
    <t>Prestación de los servicios de actualización y soporte técnico, para los productos VMWARE ya licenciados por la Función Pública, de acuerdo con las condiciones establecidas en la Ficha Técnica</t>
  </si>
  <si>
    <t>JULIO</t>
  </si>
  <si>
    <t>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</si>
  <si>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</si>
  <si>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</si>
  <si>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</si>
  <si>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</si>
  <si>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SALDO PARA GASTOS</t>
  </si>
  <si>
    <t>ACUERDO MARCO DE PRECIOS</t>
  </si>
  <si>
    <t>CDP INICIAL DE CAJA MENOR</t>
  </si>
  <si>
    <t>Descripción</t>
  </si>
  <si>
    <t>REPUESTOS</t>
  </si>
  <si>
    <t>11 MESES</t>
  </si>
  <si>
    <t>Adquisición de dispositivos de firma digital para los servidores del Departamento que son  usuarios del SIIF.</t>
  </si>
  <si>
    <t>Publicación de Edictos y convocatorias del Departamento Administrativo de la Función Pública en un diario de amplia circulación Nacional</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</si>
  <si>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</si>
  <si>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</si>
  <si>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</si>
  <si>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</si>
  <si>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MANTENIMIENTO EQUIPO COMUNICACIÓN Y COMPUTACION </t>
  </si>
  <si>
    <t xml:space="preserve">MANTENIMIENTO DE BIENES MUEBLES, EQUIPOS Y ENSERES </t>
  </si>
  <si>
    <t>OTRAS COMPRAS DE EQUIPO</t>
  </si>
  <si>
    <t>TOPES PARA REINTEGRO  AÑO 2017</t>
  </si>
  <si>
    <t>MENOS GASTOS CAJA MENOR 2017</t>
  </si>
  <si>
    <t xml:space="preserve">Rubros </t>
  </si>
  <si>
    <t>Valor  total estimado</t>
  </si>
  <si>
    <t>Valor total estimado en la vigencia</t>
  </si>
  <si>
    <t>¿Requiere vigencias futuras?</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</si>
  <si>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</si>
  <si>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</si>
  <si>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</si>
  <si>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</si>
  <si>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</si>
  <si>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</si>
  <si>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</si>
  <si>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Pruebas Kompe Estatal- Códigos de Acceso PIN (2.000 pruebas)</t>
  </si>
  <si>
    <t xml:space="preserve">Adquisición  y suministro de tóner y cartuchos para impresoras. </t>
  </si>
  <si>
    <t>6 MESES</t>
  </si>
  <si>
    <t xml:space="preserve">
2 0 4 11 2 VIATICOS Y GASTOS DE VIAJE AL INTERIOR</t>
  </si>
  <si>
    <t>Transporte de vehículo automotor en cama baja a la ciudad de Bogotá.</t>
  </si>
  <si>
    <t>72101510
72101511    72101509</t>
  </si>
  <si>
    <t>8 MESES</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</si>
  <si>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</si>
  <si>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</si>
  <si>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</si>
  <si>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</si>
  <si>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MANTENIMIENTO DE BIENES INMUEBLES (ASCENSORES $8.074,767 +</t>
  </si>
  <si>
    <t xml:space="preserve">OTROS GASTOS POR IMPRESOS Y PUBLICACIONES </t>
  </si>
  <si>
    <t xml:space="preserve">Prestación de los servicios de conectividad y enlaces. </t>
  </si>
  <si>
    <t>Nube pública</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</si>
  <si>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</si>
  <si>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</si>
  <si>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</si>
  <si>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</si>
  <si>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Contratar el suministro de gasolina corriente en Estaciones de Servicio para el funcionamiento de los vehículos automotores por los cuales sea legalmente responsable la Función Pública.</t>
  </si>
  <si>
    <t>REPORTE PRESUPUESTO - CAJA MENOR 2017</t>
  </si>
  <si>
    <t>EJECUCIÓN CAJA MENOR VIGENCIA 2016</t>
  </si>
  <si>
    <t>PROYECCCION GASTOS CAJA MENOR 2017</t>
  </si>
  <si>
    <t>DIFERENCIA 2017 - 2016</t>
  </si>
  <si>
    <t>PLAN ANUAL DE ADQUISICIONES 2017</t>
  </si>
  <si>
    <t>Julián Mauricio Martínez Alvarado - Coordinadora Grupo Gestion Administrativa 
Doris Atahualpa Polanco - Coordinadora Grupo de Gestión Contractual</t>
  </si>
  <si>
    <t>LICITACIÓN PÚBLICA</t>
  </si>
  <si>
    <t>Tiquetes aereos nacionales</t>
  </si>
  <si>
    <t>Adquisición  de habladores en acrílico de 22 cm de ancho x 10 de alto x 4 cm de base en 2 mm transparente .</t>
  </si>
  <si>
    <t>ACREDITAR</t>
  </si>
  <si>
    <t>CONTRAACREDITAR</t>
  </si>
  <si>
    <t>REQUERIMIENTO</t>
  </si>
  <si>
    <t>3 MESES</t>
  </si>
  <si>
    <t>VALOR NETO DEL CONTRATO VIGENCIA 2017</t>
  </si>
  <si>
    <t>LINA PATRICIA DIMATÉ BENJUMEA</t>
  </si>
  <si>
    <t>OFICINA ASESORA DE PLANEACION</t>
  </si>
  <si>
    <t>GREISTLY KARINE VEGA PÉREZ</t>
  </si>
  <si>
    <t>EDINSON GABRIEL MALAGÓN MAYORGA</t>
  </si>
  <si>
    <t>LUZ ESTELA ROJAS QUINTERO</t>
  </si>
  <si>
    <t>MYRIAM ALINA ORMAZA ARANGO</t>
  </si>
  <si>
    <t>GERALDINE GIRALDO MORENO</t>
  </si>
  <si>
    <t>MARÍA HERRERA PARDO</t>
  </si>
  <si>
    <t>ANA MARÍA PEREZ CARRILLO</t>
  </si>
  <si>
    <t>JHON EDINSON HALLEY MOSQUERA MIRANDA</t>
  </si>
  <si>
    <t>CLAUDIA ANDREA CELY RUIZ</t>
  </si>
  <si>
    <t>ALEXANDER HERNÁNDEZ ZORRO</t>
  </si>
  <si>
    <t>KAROL YOLIMA MERCHÁN PARRA</t>
  </si>
  <si>
    <t>SECRETARIA GENERAL</t>
  </si>
  <si>
    <t>LAURA CAMILA RONDÓN LIZARAZO</t>
  </si>
  <si>
    <t>DIANA MARITZA BUENHOMBRE GUERRERO</t>
  </si>
  <si>
    <t>10 MESES</t>
  </si>
  <si>
    <t>Adquirir los certificados para la implementación de firma digital como mecanismo de protección y autenticidad e integridad de los documentos electrónicos de archivo dentro del Sistema de Gestión Documental</t>
  </si>
  <si>
    <t>32101617 
43233201</t>
  </si>
  <si>
    <t xml:space="preserve">SELECCIÓN ABREVIADA POR SUBASTA </t>
  </si>
  <si>
    <t>ROSA MARÍA BOLAÑOS TOVAR</t>
  </si>
  <si>
    <t>RUBRO PRESUPUESTAL</t>
  </si>
  <si>
    <t>7 MESES</t>
  </si>
  <si>
    <t>LUZ ANDREA PIÑEROS LÓPEZ</t>
  </si>
  <si>
    <t>SARA RESTREPO PÉREZ</t>
  </si>
  <si>
    <t>MÓNICA SILVA ELIAS</t>
  </si>
  <si>
    <t>VIRGINIA GUEVARA SIERRA</t>
  </si>
  <si>
    <t>CHRISTIAN ALEXANDER FLÓREZ GUERRERO</t>
  </si>
  <si>
    <t>JOHNATHAN ARROYO ARROYO</t>
  </si>
  <si>
    <t xml:space="preserve">VANESSA YISETH LOZANO GUERRERO </t>
  </si>
  <si>
    <t xml:space="preserve">SECRETARÍA GENERAL - GRUPO DE GESTIÓN ADMINISTRATIVA </t>
  </si>
  <si>
    <t>DIRECCIÓN GENERAL</t>
  </si>
  <si>
    <t>DIRECCIÓN DE GESTIÓN DEL CONOCIMIENTO</t>
  </si>
  <si>
    <t>DIRECCIÓN DE GESTIÓN Y DESEMPEÑO INSTITUCIONAL</t>
  </si>
  <si>
    <t>Soporte básico SIGEP I</t>
  </si>
  <si>
    <t>Soporte extendido SIGEP I</t>
  </si>
  <si>
    <t>Oracle Licenciamiento y soporte</t>
  </si>
  <si>
    <t>VALOR TOTAL DEL CTO2</t>
  </si>
  <si>
    <t>LINA MARÍA VASQUEZ CASTRO</t>
  </si>
  <si>
    <t>MICHEL FELIPE CORDOBA PEROZO</t>
  </si>
  <si>
    <t>MARÍA ALEJANDRA ARIAS HERNÁNDEZ</t>
  </si>
  <si>
    <t>FERLEY RUÍZ MORENO</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</si>
  <si>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</si>
  <si>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Contratar la Suscripción al soporte y actualización del  Linux Red Hat Enterprise última versión.</t>
  </si>
  <si>
    <t>Prestar el servicio de apoyo logístico a nivel nacional, para la organización de los eventos de difusión de políticas requeridos por el Departamento Administrativo de la Función Pública</t>
  </si>
  <si>
    <t>JUAN DAVID MENDOZA VARGAS</t>
  </si>
  <si>
    <t>CRISTIAN YESID TORRES GUERRERO</t>
  </si>
  <si>
    <t>ANDREA CAROLINA VELANDIA DURAN</t>
  </si>
  <si>
    <t>MARIO ANDRÉS SUAREZ TOVAR</t>
  </si>
  <si>
    <t>ALFREDO SCHLESINGER FACCINI</t>
  </si>
  <si>
    <t xml:space="preserve"> 4 MESES</t>
  </si>
  <si>
    <t>SELECCIÓN ABREVIADA POR SUBASTA</t>
  </si>
  <si>
    <t>SECRETARÍA GENERAL - GRUPO DE GESTIÓN CONTRACTUAL</t>
  </si>
  <si>
    <t>B</t>
  </si>
  <si>
    <t>Soporte técnico UPS</t>
  </si>
  <si>
    <t>LINA MARÍA RICAURTE SIERRA</t>
  </si>
  <si>
    <t>SERGIO MEJÍA DUSSAN</t>
  </si>
  <si>
    <t>Suscripción al licenciamiento de software de antivirus</t>
  </si>
  <si>
    <t>Suscripción al licenciamiento de software de mail masivo</t>
  </si>
  <si>
    <t>Mejoramiento de solución Voz IP e integración con el CRM</t>
  </si>
  <si>
    <t>4 MESES</t>
  </si>
  <si>
    <t>Suscripción al servicio de software de inventarios</t>
  </si>
  <si>
    <t>2 0 4 2 2 MOBILIARIO Y ENSERES</t>
  </si>
  <si>
    <t>Adquisición de sillas ergonómicas para el personal del Departamento</t>
  </si>
  <si>
    <t>JUAN PABLO CAICEDO MONTAÑA</t>
  </si>
  <si>
    <t>No de Orden o línea</t>
  </si>
  <si>
    <t>Dependencia o área</t>
  </si>
  <si>
    <t>SUBDIRECCIÓN</t>
  </si>
  <si>
    <t>GABRIEL EDUARDO ISIDRO RAMOS</t>
  </si>
  <si>
    <t>APROBADAS</t>
  </si>
  <si>
    <t>Prestar el  servicio de mantenimiento preventivo y correctivo, incluido el suministro e instalación de repuestos, a uno (1) de los ascensor instalado en el edificio sede del Departamento Administrativo de la Función Pública, ubicado en la carrera 6 N° 12- 62 de la cuidad de Bogotá D.C</t>
  </si>
  <si>
    <t>SUBASTA INVERSA</t>
  </si>
  <si>
    <t>FRANCISCO AMEZQUITA TEL.  3344080 EXT  216. 5667649. famezquita@funcionpublica.gov.co</t>
  </si>
  <si>
    <t>DANIEL FERNANDO LOZANO TOSCANO</t>
  </si>
  <si>
    <t>ROGER QUIRAMA  Ext 500
rquirama@funcionpublica.gov.co</t>
  </si>
  <si>
    <t>Mantenimiento, suministro e instalación de cableado estructurado en el edificio sede del DAFP:</t>
  </si>
  <si>
    <t>72102900 72103300</t>
  </si>
  <si>
    <t xml:space="preserve">TOTAL TRASLADOS </t>
  </si>
  <si>
    <t>VERIFICACION DE TRASLADO ENTRE SUBRUBROS</t>
  </si>
  <si>
    <t xml:space="preserve">Adquisición de elementos de emergencias para los servidores de la Función Pública. </t>
  </si>
  <si>
    <t>2 0 4 1 8 SOFTWARE</t>
  </si>
  <si>
    <t>TRANSLADO ENTRE SUBRUBROS</t>
  </si>
  <si>
    <t>GRUPO DE GESTIÓN ADMINISTRATIVA</t>
  </si>
  <si>
    <t xml:space="preserve">
44122025
44102020
</t>
  </si>
  <si>
    <t>Adquirir los siguientes elementos para la carnetización del personal de la entidad: bolsillo P - laminación X 100 7X10 cms calibre 7
 Kit Porta Carnet Vertical en Cuero con collar con nombre de la entidad</t>
  </si>
  <si>
    <t>LUZ MARY RIAÑO EXT. 530 lriano@funcionpublica.gov.co</t>
  </si>
  <si>
    <t>JULIAN MAURICIO MARTINEZ Ext. 400 jmartinez@funcionpublica.gov.co</t>
  </si>
  <si>
    <t>NOHORA CONSTANZA SIABATO EXT. 430 nsiabato@funcionpublica.gov.co</t>
  </si>
  <si>
    <t xml:space="preserve">2 0 4 1 6 EQUIPOS DE SISTEMAS </t>
  </si>
  <si>
    <t>REPORTE PRESUPUESTO - PLAN ANUAL DE ADQUSICIONES</t>
  </si>
  <si>
    <t>PLA</t>
  </si>
  <si>
    <t>EJECUCIÓN VIGENCIA 2013</t>
  </si>
  <si>
    <t>EJECUCIÓN VIGENCIA 2014</t>
  </si>
  <si>
    <t>EJECUCIÓN VIGENCIA 2015</t>
  </si>
  <si>
    <t>VIGENCIA 2017</t>
  </si>
  <si>
    <t>PLAN ANUAL DE ADQUISICIONES</t>
  </si>
  <si>
    <t>% EJECUCIÓN  POR RUBRO</t>
  </si>
  <si>
    <t>traslado entre rubros</t>
  </si>
  <si>
    <t>APR. INICIAL</t>
  </si>
  <si>
    <t>APR. ADICIONADA</t>
  </si>
  <si>
    <t>MENOS APR. REDUCIDA(AZUL APROPIAC BLOQUEADA)</t>
  </si>
  <si>
    <t>APR. VIGENTE</t>
  </si>
  <si>
    <t>PAGOS NO ASOCIADOS A CONTRATOS</t>
  </si>
  <si>
    <t>MENOS VIGENCIAS FUTURAS 2017</t>
  </si>
  <si>
    <t>REINTEGROS CAJA MENOR (Manual)</t>
  </si>
  <si>
    <t>ADICION A CONTRATOS Y CIRCULAR 01 2016 VIATICOS</t>
  </si>
  <si>
    <t>SALDO DEL PROYECTO PARA COMPROMETER EN EL PAA</t>
  </si>
  <si>
    <t>VALOR INICIAL REGISTRO PAA</t>
  </si>
  <si>
    <t>VALORES CONTRATADOS  DEL PAA</t>
  </si>
  <si>
    <t>DIFERENCIA VALORES DE REGISTRO EN PAA</t>
  </si>
  <si>
    <t>SALDO TOTAL  DISPONIBLE DEL PROYECTO</t>
  </si>
  <si>
    <t>VALOR REGISTRADO EN PAA PENDIENTE DE CONTRATAR</t>
  </si>
  <si>
    <t>SUBTOTAL POR PROGRAMAR EN EL PAA</t>
  </si>
  <si>
    <t>% EJECUCIÓN del PAA POR RUBRO</t>
  </si>
  <si>
    <t>% PROMEDIO DE AVANCE EN LA EJECUCIÓN DEL PAA.</t>
  </si>
  <si>
    <t>OBSERVACIONES</t>
  </si>
  <si>
    <t>PRUEBAS</t>
  </si>
  <si>
    <t>OTROS SUBRUBROS PENDIENTES DE EJECUTAR</t>
  </si>
  <si>
    <t>NECESIDADES PARA AJUSTE PRESUPUESTAL</t>
  </si>
  <si>
    <t>PROPUESTA TRASLADOS
   ACREDITAR            I       CONTRAACRED</t>
  </si>
  <si>
    <t>HONORARIOS</t>
  </si>
  <si>
    <t>Para cubrir nómina</t>
  </si>
  <si>
    <t>OTROS SERVICIOS PERSONALES INDIRECTOS</t>
  </si>
  <si>
    <t>SUBTOTAL SERVICIOS PERSONALES INDIRECTOS</t>
  </si>
  <si>
    <t>SUBTOTALES  GASTOS DE PERSONAL</t>
  </si>
  <si>
    <t>IMPUESTO PREDIAL</t>
  </si>
  <si>
    <t>IMPUESTO DE VEHÍCULOS</t>
  </si>
  <si>
    <t>MULTAS</t>
  </si>
  <si>
    <t>SUBTOTAL IMPUESTOS Y MULTAS</t>
  </si>
  <si>
    <t>ADQUISICION DE BIENES Y SERVICIOS</t>
  </si>
  <si>
    <t>EQUIPO DE SISTEMAS</t>
  </si>
  <si>
    <t>SOFTWARE</t>
  </si>
  <si>
    <t>EQUIPO Y MAQUINARIA PARA OFICINA</t>
  </si>
  <si>
    <t>MOBILIARIO Y ENSERES</t>
  </si>
  <si>
    <t>SUBTOTAL MUEBLES Y ENSERES</t>
  </si>
  <si>
    <t>COMBUSTIBLE Y LUBRICANTES</t>
  </si>
  <si>
    <t>DOTACIÓN</t>
  </si>
  <si>
    <t>LLANTAS Y ACCESORIOS</t>
  </si>
  <si>
    <t>Llantas para vehículos corsa.+ RENAULT</t>
  </si>
  <si>
    <t>materiales para los carnés</t>
  </si>
  <si>
    <t>CAJA MENOR</t>
  </si>
  <si>
    <t>MANTENIMIENTO DE BIENES INMUEBLES</t>
  </si>
  <si>
    <t>Adicionar contrato de aseo para papel higiénico $9 millones</t>
  </si>
  <si>
    <t>OTROS COMUNICACIONES Y TRANSPORTE</t>
  </si>
  <si>
    <t>SERVICIOS PUBLICOS</t>
  </si>
  <si>
    <t>SALSO PRESUP</t>
  </si>
  <si>
    <t>PROMEDIO MES</t>
  </si>
  <si>
    <t>FALTA POR PAGAR</t>
  </si>
  <si>
    <t>SALDO</t>
  </si>
  <si>
    <t>ACUEDUCTO ALCANTARILLADO Y ASEO</t>
  </si>
  <si>
    <t>ENERGÍA</t>
  </si>
  <si>
    <t>TELEFONÍA MOVIL CELULAR</t>
  </si>
  <si>
    <t>TELEFONÍA FIJA, FAX Y OTROS</t>
  </si>
  <si>
    <t>SUBTOTAL SERVICIOS PUBLICOS</t>
  </si>
  <si>
    <t>SEGUROS</t>
  </si>
  <si>
    <t>SEGURO DE INCENDIO</t>
  </si>
  <si>
    <t>SEGUROS EQUIPOS ELECTRICOS</t>
  </si>
  <si>
    <t>SEGURO RESPONSABILIDAD CIVIL</t>
  </si>
  <si>
    <t>SEGURO SUSTRACCION Y HURTO</t>
  </si>
  <si>
    <t>OTROS SEGUROS</t>
  </si>
  <si>
    <t>SUBTOTAL SEGUROS</t>
  </si>
  <si>
    <t>INCLUIR EN TRASLADO 
   $8 MILLONES. PORQUE EL VALOR PROMEDIO ES DE $76.000.000</t>
  </si>
  <si>
    <t>ARRENDAMIENTOS</t>
  </si>
  <si>
    <t>ARRENDAMIENTOS DE BIENES MUEBLES</t>
  </si>
  <si>
    <t>ARRENDAMIENTOS DE BIENES INMUEBLES</t>
  </si>
  <si>
    <t>SUBTOTAL ARRENDAMIENTOS</t>
  </si>
  <si>
    <t>TIQUETES AL EXTERIOR</t>
  </si>
  <si>
    <t>VIATICOS AL EXTERIOR</t>
  </si>
  <si>
    <t>TIQUETES AL INTERIOR</t>
  </si>
  <si>
    <t>CAPACITACION, BIENESTAR SOCIAL Y ESTIMULOS</t>
  </si>
  <si>
    <t>SERVICIOS DE BIENESTAR SOCIAL</t>
  </si>
  <si>
    <t>SUBTOTAL CAPACITACIÓN , BIENESTAR Y ESTÍMULOS</t>
  </si>
  <si>
    <t>OTROS GASTOS POR ADQUISICIÓN DE SERVICIOS</t>
  </si>
  <si>
    <t>SUBTOTAL OTROS GASTOS POR ADQUIS. BIENES</t>
  </si>
  <si>
    <t>ADQUISICIÓN BIENES Y SERVICIOS</t>
  </si>
  <si>
    <t>SERVICIOS PERSONALES INDIRECTOS (PARA PAA)</t>
  </si>
  <si>
    <t>IMPUESTOS Y MULTAS</t>
  </si>
  <si>
    <t xml:space="preserve">GRAN TOTAL </t>
  </si>
  <si>
    <t>PRUEBA VALORES</t>
  </si>
  <si>
    <t>SUBTOTAL GASTOS GENERALES</t>
  </si>
  <si>
    <t>SUMAS</t>
  </si>
  <si>
    <t>OTRAS TRANSFERENCIAS - PREVIO CONCEPTO DGPPN</t>
  </si>
  <si>
    <t>SUBTOTAL TRANSFERENCIAS CORRIENTES</t>
  </si>
  <si>
    <t>INVERSION</t>
  </si>
  <si>
    <t>FORTALECIMIENTO DE LOS SISTEMAS DE INFORMACIÓN DEL EMPLEO PÚBLICO EN COLOMBIA</t>
  </si>
  <si>
    <t>1498</t>
  </si>
  <si>
    <t>1996</t>
  </si>
  <si>
    <t>MEJORAMIENTO DE LA INFRAESTRUCTURA PROPIA DEL SECTOR</t>
  </si>
  <si>
    <t>MEJORAMIENTO DE LA GESTION DE LAS POLITICAS PUBLICAS A TRAVES DE LAS TECNOLOGIAS DE INFORMACION TICS</t>
  </si>
  <si>
    <t>SUBTOTAL PROYECTOS DE INVERSIÓN</t>
  </si>
  <si>
    <t>pruebas</t>
  </si>
  <si>
    <t>RUBROS PRESUPUESTALES - PAA</t>
  </si>
  <si>
    <t>SALDO PARA COMPROMETER</t>
  </si>
  <si>
    <t>DIFERENCIA</t>
  </si>
  <si>
    <t>% EJECUCIÓN DEL PAA POR RUBRO</t>
  </si>
  <si>
    <t>SUBTOTAL FUNCIONAMIENTO</t>
  </si>
  <si>
    <t>SUBTOTAL INVERSIÓN</t>
  </si>
  <si>
    <t>GRAN TOTAL</t>
  </si>
  <si>
    <t>VALORES PARA PAC FUNCIONAM</t>
  </si>
  <si>
    <t>VALORES PARA PAC INVERSION</t>
  </si>
  <si>
    <t>Compra de computadores portátiles para el servicio integral que presta la entidad</t>
  </si>
  <si>
    <t>Adicionar contrato de vehiculos $6,200,000 millones</t>
  </si>
  <si>
    <t>TRASLADO ENTRE BRUBROS</t>
  </si>
  <si>
    <t>PLAN ANUAL DE ADQUISICIONES 2018</t>
  </si>
  <si>
    <t>Somos la entidad líder del Sector Función Pública, comprometida con la gestión eficiente del Estado colombiano. Fomentamos el desarrollo de las instituciones y de su talento humano promoviendo en las entidades públicas colombianas una gestión efectiva e integral.</t>
  </si>
  <si>
    <r>
      <t>Funcionamiento:</t>
    </r>
    <r>
      <rPr>
        <sz val="22"/>
        <color indexed="8"/>
        <rFont val="Calibri"/>
        <family val="2"/>
      </rPr>
      <t xml:space="preserve"> </t>
    </r>
    <r>
      <rPr>
        <sz val="20"/>
        <color indexed="8"/>
        <rFont val="Calibri"/>
        <family val="2"/>
      </rPr>
      <t xml:space="preserve">$18.287´435.459
Inversión CSF: $11.990´678.600     SSF:                   </t>
    </r>
  </si>
  <si>
    <t>Prestar servicios profesionales para apoyar al Grupo de Gestión Administrativa de la Función Pública (sistema de detecciónde incendios)</t>
  </si>
  <si>
    <t>1 0 2 12 10 HONORARIOS</t>
  </si>
  <si>
    <t xml:space="preserve">Instalación sistema de toboganes para evacuación de emergencia </t>
  </si>
  <si>
    <t>MENOR CUANTÍA</t>
  </si>
  <si>
    <t>Planta electrica 500 KVA</t>
  </si>
  <si>
    <t>mayo</t>
  </si>
  <si>
    <t>16 MESES</t>
  </si>
  <si>
    <t>PENDIENTE</t>
  </si>
  <si>
    <t>Contratar el servicio de Mantenimiento y cargue de extintores de la Función Pública, incluidos repuestos.</t>
  </si>
  <si>
    <t xml:space="preserve">Revisión, mantenimiento preventivo y correctivo de los sistemas de sonido ambiental, hidráulico y sanitario  </t>
  </si>
  <si>
    <t>Adecuación,  mantenimiento preventivo y correctivo de los sistemas de detección y extinción de incendios , incluidos repuestos.</t>
  </si>
  <si>
    <t>72101510
72101511    72101508</t>
  </si>
  <si>
    <t>Reparaciones locativas pisos9,  8 y 5 Humedades fachadas y culatas.</t>
  </si>
  <si>
    <t>1 0 4 5 1 MANTENIMIENTO DE BIENES INMUEBLES</t>
  </si>
  <si>
    <t>80101500
80101600
80101509</t>
  </si>
  <si>
    <t>Diagnostico, diseño y especificaciones técnicas sistema de iluminación del edificio zonas de oficinas</t>
  </si>
  <si>
    <t>CONCURSO DE MERITOS</t>
  </si>
  <si>
    <t>Cambio de orinales por orinales sin agua tecnologia seca incluye compra de cartucho de trampa quimica</t>
  </si>
  <si>
    <t>Adquisición e instalación de Torres de sonido para el auditorio</t>
  </si>
  <si>
    <t>Adquirir el servicio de mantenimiento preventivo y correctivo, suministro e instalación de repuestos y mano de obra, para los vehiculos que componen el parque automotor del Departamento Administrativo de la Función Pública.</t>
  </si>
  <si>
    <t>36 MESES</t>
  </si>
  <si>
    <t xml:space="preserve">2 0 4 5 6 MANTENIMIENTO EQUIPO DE NAVEGACIÓN Y TRANSPORTE </t>
  </si>
  <si>
    <t>Servicio de vigilancia y recepción en el edificio sede de Función Pública</t>
  </si>
  <si>
    <t xml:space="preserve">2 0 4 5 10 SERVICIO DE SEGURIDAD Y VIGILANCIA </t>
  </si>
  <si>
    <t>Adquisición de Fotocopiadora</t>
  </si>
  <si>
    <t>Adquisición de Unidades de Imagen para Impresoras lexmark</t>
  </si>
  <si>
    <t>Adquisición de Impresoras Multifuncionales</t>
  </si>
  <si>
    <t>Reparación mesa sala de juntas de la dirección</t>
  </si>
  <si>
    <t>46171621
46171622</t>
  </si>
  <si>
    <t>Soporte y Mantenimiento CCTV Circuito Cerrado de televisión del edificio sede de Función Pública</t>
  </si>
  <si>
    <t>43211714
44103206</t>
  </si>
  <si>
    <t xml:space="preserve">Soporte técnico y mantenimiento del sistema biométrico del Departamento </t>
  </si>
  <si>
    <t>11,5 MESES</t>
  </si>
  <si>
    <t>Comercialización de bienes muebles dados de baja del propiedad del DAFP</t>
  </si>
  <si>
    <t>SUBDIRECCIÓN- GRUPODE GESTIÓN ADMINISTRATIVA</t>
  </si>
  <si>
    <t>C-0505 1000-2 RECURSO 10 IMPLEMENT Y FORTALECIM  DE LAS POLÍTICAS PÚBLICAS A NIVEL NACIONAL</t>
  </si>
  <si>
    <t>SECRETARIA GENERAL - GRUPO DE GESTIÓN DOCUMENTAL</t>
  </si>
  <si>
    <t>JUDY MAGALI RODRIGUEZ SANTANA EXT. 420 jrodriguez@funcionpublica.gov.co</t>
  </si>
  <si>
    <t>GRUPO DE GESTION  DOCUMENTAL</t>
  </si>
  <si>
    <t>Rótulos presaplique REF 3611 Tamaño 107.9 x 46.5 mm</t>
  </si>
  <si>
    <t>Rollo cinta térmica Datamax mclass</t>
  </si>
  <si>
    <t>Rollo de sticker para impresora Datamax mclass</t>
  </si>
  <si>
    <t>Carpetas Cuatro Aletas</t>
  </si>
  <si>
    <t>Cajas X200</t>
  </si>
  <si>
    <t>SECRETARÍA GENERAL - GRUPO DE GESTIÓN HUMANA</t>
  </si>
  <si>
    <t>GRUPO DE GESTIÓN HUMANA</t>
  </si>
  <si>
    <t>Adquirir scaner para la digitalización de historias laborales de los servidores de la Entidad</t>
  </si>
  <si>
    <t>Compra de desfibrilador  de conformidad con la Ley 1831 del 2 de mayo de 2017</t>
  </si>
  <si>
    <t>Compra e instalación de elementos para realizar actividad fisica en el marco del Progra de Entorno Laboral Saludable</t>
  </si>
  <si>
    <t>Convoca a Concurso abierto de méritos para proveer definitivamente los empleos vacantes de la planta de personal perteneciente al Sistema General de Carrera Administrativa del Departamento Adminsitrativo de la Función Pública</t>
  </si>
  <si>
    <t>Adquirir un de Sistema de información para la administración del Talento Humano,</t>
  </si>
  <si>
    <t>3 0 4 1 8 SOFTWARE</t>
  </si>
  <si>
    <t xml:space="preserve">OFICINA DE TECNOLOGIAS DE LA INFORMACIÓN Y LAS COMUNICACIONES </t>
  </si>
  <si>
    <t>Adquisición de perifericos</t>
  </si>
  <si>
    <t>Iimplementación de la tercera fase de la estrategia de Gobierno en Línea</t>
  </si>
  <si>
    <t>C-0505-1000-1 RECURSO 10 DESARROLLO Y FORTALECIM DE CAPACIDADES DE DE LAS ENTIDADES TERRITORIALES DE LA CIRCUNSCRIPCION NACIONAL</t>
  </si>
  <si>
    <t xml:space="preserve">Compra de computadores </t>
  </si>
  <si>
    <t>Renovación del soporte del software de backup</t>
  </si>
  <si>
    <t>Soporte de las SAN</t>
  </si>
  <si>
    <t>Compra de servidores</t>
  </si>
  <si>
    <t>Audiencia Publica de Rendición de Cuentas de Función Pública.</t>
  </si>
  <si>
    <t>GUILLERMO MARTINEZ TEL. 7395657 EXT. 855 gmartinez@funcionpublica.gov.co</t>
  </si>
  <si>
    <t xml:space="preserve"> GRUPO DE GESTION FINANCIERA</t>
  </si>
  <si>
    <t>Prestar servicios profesionales para apoyar a la DIRECCION GENERAL de Función Pública</t>
  </si>
  <si>
    <t>FERNANDO AUGUSTO MEDINA EXT. 910 fmedina@funcionpublica.gov.co</t>
  </si>
  <si>
    <t>DIRECCIÓN GENERAL - EQUIPO CAMBIO CULTURAL</t>
  </si>
  <si>
    <t>Prestar servicios profesionales para apoyar a la DIRECCION GENERAL - EQUIPO CAMBIO CULTURAL de Función Pública</t>
  </si>
  <si>
    <t>DIRECCIÓN GENERAL - EQUIPO GESTIÓN INTERNACIONAL</t>
  </si>
  <si>
    <t>Prestar servicios profesionales para apoyar a la DIRECCION GENERAL - EQUIPO GESTION INTERNACIONAL de Función Pública</t>
  </si>
  <si>
    <t>DIRECCIÓN GENERAL - EQUIPO CONSTRUCCIÓN DE PAZ</t>
  </si>
  <si>
    <t>Prestar servicios profesionales para apoyar a la DIRECCION GENERAL - EQUIPO CONSTRUCCION DE PAZ de Función Pública</t>
  </si>
  <si>
    <t>Prestar servicios profesionales para apoyar a la SUBDIRECCION de Función Pública</t>
  </si>
  <si>
    <t>Prestar servicios profesionales para apoyar a la SECRETARIA GENERAL de Función Pública</t>
  </si>
  <si>
    <t>ANGELA MARIA GONZALEZ Ext. 801 amgonzalez@funcionpublica.gov.co</t>
  </si>
  <si>
    <t>Prestar servicios profesionales para apoyar a la SECRETARÍA GENERAL - GRUPO GESTIÓN CONTRACTUAL de Función Pública</t>
  </si>
  <si>
    <t>DORIS ATAHUALPA EXT. 401 datahualpa@funcionpublica.gov.co</t>
  </si>
  <si>
    <t>Prestar servicios de apoyo a la gestión en la  SECRETARÍA GENERAL - GRUPO GESTIÓN CONTRACTUAL de Función Pública</t>
  </si>
  <si>
    <t>SECRETARÍA GENERAL - GRUPO DE SERVICIO AL CIUDADANO INSTITUCIONAL</t>
  </si>
  <si>
    <t>Prestar servicios profesionales para apoyar a la SECRETARÍA GENERAL - GRUPO DE SERVICIO AL CIUDADANO INSTITUCIONAL de Función Pública</t>
  </si>
  <si>
    <t>JAIME JIMENEZ ext. 300 jjimenez@funcionpublica.gov.co</t>
  </si>
  <si>
    <t>SECRETARÍA GENERAL - GRUPO DE GESTIÓN DOCUMENTAL</t>
  </si>
  <si>
    <t>Prestar servicios profesionales para apoyar a la SECRETARÍA GENERAL - GRUPO GESTIÓN DOCUMENTAL de Función Pública</t>
  </si>
  <si>
    <t>Prestar servicios profesionales para apoyar a la SECRETARÍA GENERAL - GRUPO GESTIÓN ADMINISTRATIVA  de Función Pública</t>
  </si>
  <si>
    <t>DIRECCIÓN DE DESARROLLO ORGANIZACIONAL</t>
  </si>
  <si>
    <t>Prestar servicios profesionales para apoyar a la DIRECCION DE DESARROLLO ORGANIZACIONAL de Función Pública</t>
  </si>
  <si>
    <t>ALEJANDRO BECKER  Ext. 820 abecker@funcionpublica.gov.co</t>
  </si>
  <si>
    <t>Prestar servicios profesionales para apoyar a la DIRECCION DE EMPLEO PUBLICO de Función Pública</t>
  </si>
  <si>
    <t>FRANCISCO CAMARGO SALAS, Ext. 700 fcamargo@funcionpublica.gov.co</t>
  </si>
  <si>
    <t>Prestar servicios profesionales para apoyar a la DIRECCION DE GESTION DEL CONOCIMIENTO de Función Pública</t>
  </si>
  <si>
    <t>DIEGO BELTRAN
Ext. 920
dbeltran@funcionpublica.gov.co</t>
  </si>
  <si>
    <t>Prestar servicios profesionales para apoyar a la DIRECCION GESTION Y DESEMPEÑO INSTITUCIONAL de Función Pública</t>
  </si>
  <si>
    <t>DIRECCIÓN PARTICIPACIÓN TRANSPARENCIA Y SERVICIO AL CIUDADANO</t>
  </si>
  <si>
    <t>Prestar servicios profesionales para apoyar a la DIRECCION PARTICIPACION TRANSPARENCIA Y SERVICIO AL CIUDADANO de Función Pública</t>
  </si>
  <si>
    <t>FERNANDO SEGURA EXT. 630 fsegura@funcionpublica.gov.co</t>
  </si>
  <si>
    <t>Prestar servicios de apoyo a la gestión en la  DIRECCION JURIDICA de Función Pública</t>
  </si>
  <si>
    <t>CLAUDIA PATRICIA HERNANDEZ Tel 7395656 ext 741 chernandez@funcionpública.gov.co</t>
  </si>
  <si>
    <t>Prestar servicios profesionales para apoyar a la DIRECCION JURIDICA de Función Pública</t>
  </si>
  <si>
    <t xml:space="preserve">80121500
80121600
80121700
80121800
</t>
  </si>
  <si>
    <t>Vigilancia judicial</t>
  </si>
  <si>
    <t>Prestar servicios profesionales para apoyar a la OFICINA DE TECNOLOGIAS DE LA INFORMACION Y LAS COMUNICACIONES de Función Pública</t>
  </si>
  <si>
    <t>OFICINA ASESORA DE COMUNICACIONES</t>
  </si>
  <si>
    <t>Prestar servicios profesionales para apoyar a la OFICINA ASESORA DE COMUNICACIONES de Función Pública</t>
  </si>
  <si>
    <t>DIANA BOHORQUEZ Ext. 520 dbohorquez@funcionpublica.gov.co</t>
  </si>
  <si>
    <t>Prestar servicios profesionales para apoyar a la OFICINA ASESORA DE PLANEACION de Función Pública</t>
  </si>
  <si>
    <t>Prestar servicios de apoyo a la gestión en la  SECRETARIA GENERAL de Función Pública</t>
  </si>
  <si>
    <t>Sobres especiales (Para envio cartilla y plegable) Tipo polybag de 12 x 15,5</t>
  </si>
  <si>
    <t>MARIA DEL PILAR GARCÍA EXT. 610 mpgarcia@funcionpublica.gov.co</t>
  </si>
  <si>
    <t>DIRECCIÓN DE GESTIÓN Y DESEMPEÑO INSTITUCIONAL - GRUPO GESTIÓN MERITOCRÁTICA</t>
  </si>
  <si>
    <t>Tajalápiz eléctrico</t>
  </si>
  <si>
    <t>Contrato de tiquetes aereos en desarrollo del proyecto de inversión de fortalecimiento de las políticas</t>
  </si>
  <si>
    <t>Licencias Project</t>
  </si>
  <si>
    <t>Material didáctico para desarrollo de los programas de Función Pública  Código de Integridad.</t>
  </si>
  <si>
    <t>Contrato de Tiquetes aéreos al exterior - ponencias</t>
  </si>
  <si>
    <t>Total comprometido del valor asignado por el proyecto</t>
  </si>
  <si>
    <t>DESARROLLO Y FORTALECIMIENTO DE LAS CAPACIDADES DE LAS ENTIDADES TERRITORIALES  DE LA CIRCUNSCRIPCIÓN NACIONAL</t>
  </si>
  <si>
    <t>contratista</t>
  </si>
  <si>
    <t>CAMILO ANDRÉS MUÑOZ PEÑA</t>
  </si>
  <si>
    <t>CARLOS EDUARDO HERNÁNDEZ VALDEBLANQUEZ</t>
  </si>
  <si>
    <t>ANDRÉS FELIPE SEGURA ARNAIZ</t>
  </si>
  <si>
    <t>GIOVANNI GUATIBONZA CARREÑO</t>
  </si>
  <si>
    <t>SONIA OSORIO VESGA</t>
  </si>
  <si>
    <t>JULIÁN ALBERTO TRUJILLO MARÍN</t>
  </si>
  <si>
    <t>DANIEL ASDRÚBAL ROMERO GONZÁLEZ</t>
  </si>
  <si>
    <t>DIANA PATRICIA BERMUDEZ CETINA</t>
  </si>
  <si>
    <t>JULY AMANDA MUÑOZ</t>
  </si>
  <si>
    <t>CLARA INÉS COLLAZOS MARTÍNEZ</t>
  </si>
  <si>
    <t>LINA MARÍA AYCARDI</t>
  </si>
  <si>
    <t>JAIME ANDRÉS URAZÁN LEAL</t>
  </si>
  <si>
    <t>YULY VERONICA RUEDA PÉREZ</t>
  </si>
  <si>
    <t>ALEXANDER MÁRQUEZ RÍOS</t>
  </si>
  <si>
    <t>JAZMITH ADRIANA ROJAS</t>
  </si>
  <si>
    <t>LEIDY CAROLINA MOGOLLÓN DELGADO</t>
  </si>
  <si>
    <t>ANA MILENA CÁCERES CASTRO</t>
  </si>
  <si>
    <t>NATALIA ANDREA GONZÁLEZ PUIN</t>
  </si>
  <si>
    <t>JAVIER LEÓN RICARDO SÁNCHEZ LIZARAZO</t>
  </si>
  <si>
    <t>PATRICIA GALINDO ARIAS</t>
  </si>
  <si>
    <t>VÍCTOR HUGO JAUREGUI PAZ</t>
  </si>
  <si>
    <t>JACK LEONARDO MARTÍNEZ VANEGAS</t>
  </si>
  <si>
    <t>PEDRO ANTONIO GARCÍA MEDINA</t>
  </si>
  <si>
    <t>LUIS ARÉVALO</t>
  </si>
  <si>
    <t>JORGE GIRALDO</t>
  </si>
  <si>
    <t>EDGAR VELOSA</t>
  </si>
  <si>
    <t>JOHANNA JIMÉNEZ CORREA</t>
  </si>
  <si>
    <t>JUAN DAVID CAMACHO PIÑEROS</t>
  </si>
  <si>
    <t>COMPROMISO SIN ASIGNACION PRESUPUESTAL.</t>
  </si>
  <si>
    <t>C-0599-1000-2 RECURSO 10 TECNOLOGÍAS DE LA INFORMACIÓN</t>
  </si>
  <si>
    <t>CUBRIR VALOR DE IMPUESTOS</t>
  </si>
  <si>
    <t xml:space="preserve">Compra elementos para la ejecución de actividades internas de la Entidad </t>
  </si>
  <si>
    <t>Soporte, Mantenimniento y actualización del sistema de turnos web del edificio sede de Función Pública</t>
  </si>
  <si>
    <t xml:space="preserve">Revisión, mantenimiento preventivo y correctivo de los sistemas  de sonido ambiental, hidráulico y sanitario (repuestos) </t>
  </si>
  <si>
    <t>Para cubrir concursos</t>
  </si>
  <si>
    <t>COMPROMISO AJUSTADO A LA DISPONIBILIDAD PRESUPUESTAL.</t>
  </si>
  <si>
    <t>Prestación de servicios profesionales  para implementación de normas internacionesl</t>
  </si>
  <si>
    <t>ANGELA MARÍA GONZÁLEZ  LOZADA
SECRETARIA GENERAL</t>
  </si>
  <si>
    <t>JULIÁN MAURICIO MARTÍNEZ ALVARADO
COORDINADOR GRUPO GESTIÓN ADMINISTRATIVA</t>
  </si>
  <si>
    <t>DISTRIBUCIÓN DEL PRESPUESTO DE FUNCIONAMIENTO DAFP 2018.</t>
  </si>
  <si>
    <t>Prestar el servicio de mantenimiento preventivo y correctivo, suministro e instalación de repuestos y mano de obra, para los vehiculos que componen el parque automotor del Departamento Administrativo de la Función Pública.</t>
  </si>
  <si>
    <t>218'747.761</t>
  </si>
  <si>
    <t>21'874.776,10</t>
  </si>
  <si>
    <t>ADICIONAR CONTRATO POR $77.000.000</t>
  </si>
  <si>
    <t>ADICIONAR CONTRATO POR 18.000.000</t>
  </si>
  <si>
    <t>Prestación de servicios profesionales  en la Secretaría General - Grupo de Gestión Financiera de Función Pública</t>
  </si>
  <si>
    <t>Solución de software de backup</t>
  </si>
  <si>
    <t>Renovación licenciamiento CRM</t>
  </si>
  <si>
    <t>11, 5 MESES</t>
  </si>
  <si>
    <t>SALDO PARA CONTRATO EN OCTUBRE POR 36 MESES $3.000.000</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</si>
  <si>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</si>
  <si>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Enaltecer al servidor público y su labor y Consolidar una gestión pública moderna, eficiente, transparente, focalizada y participativa al servicio de los ciudadanos.</t>
  </si>
  <si>
    <t>C-0505 1000-2 RECURSO 11 IMPLEMENT Y FORTALECIM  DE LAS POLÍTICAS PÚBLICAS A NIVEL NACIONAL</t>
  </si>
  <si>
    <t>SECRETARÍA GENERAL</t>
  </si>
  <si>
    <t>Prestar servicios profesionales para apoyar a la SECRETARÍA GENERAL  de Función Pública</t>
  </si>
  <si>
    <t>SECRETARÍA GENERAL - GRUPO DE GESTION HUMANA</t>
  </si>
  <si>
    <t>Prestar servicios profesionales para apoyar a la SECRETARÍA GENERAL - GRUPO DE GESTION HUMANA de Función Pública</t>
  </si>
  <si>
    <t>OFICINA ASESORA DE CONTROL INTERNO</t>
  </si>
  <si>
    <t>Prestar servicios profesionales para apoyar a la OFICINA ASESORA DE CONTROL INTERNO de Función Pública</t>
  </si>
  <si>
    <t>LUZ STELLA PATIÑO Ext. 600 lpatino@funcionpublica.gov.co</t>
  </si>
  <si>
    <t>JUAN MAURICIO CORNEJO RODRIGUEZ</t>
  </si>
  <si>
    <t>C-0505-1000-1 RECURSO 11 DESARROLLO Y FORTALECIM DE CAPACIDADES DE DE LAS ENTIDADES TERRITORIALES DE LA CIRCUNSCRIPCION NACIONAL</t>
  </si>
  <si>
    <r>
      <t xml:space="preserve">DESARROLLO Y FORTALECIMIENTO DE LAS CAPACIDADES DE LAS ENTIDADES TERRITORIALES  DE LA CIRCUNSCRIPCIÓN NACIONAL </t>
    </r>
    <r>
      <rPr>
        <b/>
        <sz val="14"/>
        <color rgb="FFFF0000"/>
        <rFont val="Arial"/>
        <family val="2"/>
      </rPr>
      <t>ESAP</t>
    </r>
  </si>
  <si>
    <r>
      <t>Funcionamiento:</t>
    </r>
    <r>
      <rPr>
        <sz val="22"/>
        <rFont val="Calibri"/>
        <family val="2"/>
      </rPr>
      <t xml:space="preserve"> </t>
    </r>
    <r>
      <rPr>
        <sz val="20"/>
        <rFont val="Calibri"/>
        <family val="2"/>
      </rPr>
      <t xml:space="preserve">$18.287´435.459
Inversión CSF: $11.990´678.600     SSF:  $10´000.000.000              </t>
    </r>
  </si>
  <si>
    <t>actualización del sistema de turnos web del edificio sede de Función Pública</t>
  </si>
  <si>
    <t>MINIMA CUIANTÍA</t>
  </si>
  <si>
    <t>Cubrir  concursos</t>
  </si>
  <si>
    <t>SUBDIRECCIÓN- GRUPO GESTIÓN ADMINISTRATIVA</t>
  </si>
  <si>
    <t>10  MESES</t>
  </si>
  <si>
    <t>COMERCIALIZACIÓN DE BIENES MUEBLES DADOS DE BAJA - CISA</t>
  </si>
  <si>
    <t>TOTALES</t>
  </si>
  <si>
    <t>C-0599-1000-2 RECURSO 11 TECNOLOGÍAS DE LA INFORMACIÓN</t>
  </si>
  <si>
    <t xml:space="preserve">Adquirir el Licenciamiento Microsoft y la suscripción de una bolsa de horas de soporte especializado Microsoft office 365, conforme a las especificaciones del anexo técnico. </t>
  </si>
  <si>
    <t xml:space="preserve">Adquirir el licenciamiento para el sistema de monitoreo ORION  que le permita verificar el estado de su Red frente a:  Servidores, Servicios, Equipos de comunicación y aplicaciones. </t>
  </si>
  <si>
    <t>Adquirir la renovación de la suscripción del licenciamiento Suite Adobe Creative Cloud durante doce (12) meses</t>
  </si>
  <si>
    <t>reservar saldo para adicion contratos y renovación en agosto.</t>
  </si>
  <si>
    <t>PLAN ANUAL DE ADQUISICIONES 2018 DAFP</t>
  </si>
  <si>
    <t>OFICINA DE TECNOLOGÍAS DE LA INFORMACIÓN Y LAS COMUNICACIONES</t>
  </si>
  <si>
    <t>Soporte extendido SIGEP</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</si>
  <si>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</si>
  <si>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No</t>
  </si>
  <si>
    <t>INVERSION ESTIMADO</t>
  </si>
  <si>
    <t xml:space="preserve">FUNCIONAMIENTO </t>
  </si>
  <si>
    <t>Valores estimados</t>
  </si>
  <si>
    <t>valores contratados</t>
  </si>
  <si>
    <t>valores pendientes de contratar</t>
  </si>
  <si>
    <t>VERIFICA</t>
  </si>
  <si>
    <t>rubros DEL Paa</t>
  </si>
  <si>
    <t>Prestar servicios de apoyo a la DIRECCION GESTION Y DESEMPEÑO INSTITUCIONAL de Función Pública</t>
  </si>
  <si>
    <t>32131023.</t>
  </si>
  <si>
    <t>Prestar servicios de apoyo a la gestión en la DIRECCION GENERAL de Función Pública</t>
  </si>
  <si>
    <t>Prestar servicios de apoyo en la DIRECCION DE GESTION DEL CONOCIMIENTO de Función Pública</t>
  </si>
  <si>
    <t>Prestar servicios profesionales para apoyar a la SECRETARIA GENERAL - GRUPO DE GESTION ADMINISTRATIVA  de la Función Púbica en el marco del Proyecto "Mejoramiento, Fortalecimiento de la Capacidad Institucional para el Desarrollo de Políticas Públicas. Nacional"</t>
  </si>
  <si>
    <t>NA</t>
  </si>
  <si>
    <t>JULIAN MAURICIO MARTINEZ Ext. 400</t>
  </si>
  <si>
    <r>
      <t xml:space="preserve">IMPLEMENTACIÓN Y FORTALECIMIENTO DE POLÍTICAS LIDERADAS POR FUNCION PUBLICA A NIVEL NACIONAL </t>
    </r>
    <r>
      <rPr>
        <b/>
        <sz val="14"/>
        <color rgb="FFFF0000"/>
        <rFont val="Arial"/>
        <family val="2"/>
      </rPr>
      <t>ESAP</t>
    </r>
  </si>
  <si>
    <t>IMPLEMENTACIÓN Y FORTALECIMIENTO DE POLÍTICAS LIDERADAS POR FUNCION PUBLICA A NIVEL NACIONAL</t>
  </si>
  <si>
    <t>Solución de envío de correo masivo para Función Pública</t>
  </si>
  <si>
    <t>global</t>
  </si>
  <si>
    <t>Soporte, Mantenimiento del sistema de turnos web del edificio sede de Función Pública</t>
  </si>
  <si>
    <t xml:space="preserve">Pruebas Test de Wartegg, para la evaluación de competencias laborales </t>
  </si>
  <si>
    <t xml:space="preserve">Pruebas Kompe Estatal- Códigos de Acceso PIN </t>
  </si>
  <si>
    <t>Prestar servicios profesionales en la Subdirección de Función Pública</t>
  </si>
  <si>
    <t>Enero</t>
  </si>
  <si>
    <t>MO</t>
  </si>
  <si>
    <t>el saldo es para adicionar contrato actual en $32.622.785</t>
  </si>
  <si>
    <t>5 MESES</t>
  </si>
  <si>
    <t>4,5 MESES</t>
  </si>
  <si>
    <t>llantas de  vehiculos segundo semestre</t>
  </si>
  <si>
    <t>046-2018</t>
  </si>
  <si>
    <t>ORGANIZACIÓN TERPEL S.A.</t>
  </si>
  <si>
    <t>Abastecer gasolina corriente para el normal funcionamiento de los vehiculos del Departamento Administrativo de la Función Pública, de conformidad con los lineamientos establecidos en el Acuerdo Marco de Precios para suministro de combustible, con sistema de control EDS de Colombia Compra Eficiente,</t>
  </si>
  <si>
    <t xml:space="preserve">PRESTACION DE SERVICIOS </t>
  </si>
  <si>
    <t>Función Pública pagará el valor del contrato de conformidad con las condiciones que se encuentren establecidos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mismo.</t>
  </si>
  <si>
    <t>Hasta el treinta (30) de noviembre de 2018, previo registro presupuestal y demas condiciones establecidas en el Acuerdo Marco de Precios suscrito por Colombia Compra Eficiente.</t>
  </si>
  <si>
    <t>IVAN ADOLFO MORANTES MOJICA</t>
  </si>
  <si>
    <t xml:space="preserve">GRUPO DE GESTION ADMINISTRATIVA </t>
  </si>
  <si>
    <t>143-2018</t>
  </si>
  <si>
    <t>E &amp; M INGENIERIA S.A.S.</t>
  </si>
  <si>
    <t>Adquirir la suscripción, soporte técnico, transferencia de conocimientos y mantenimiento del Sistema de Turnos Web, de la entidad.</t>
  </si>
  <si>
    <t>CONTRATO DE COMPRAVENTA</t>
  </si>
  <si>
    <t>Un (1) unico pago por valor de SEIS MILLONES SESENTA Y CUATRO MIL CUATROCIENTOS SETENTA Y TRES PESOS ($6'064,473) M/CTE en el mes de marzo de 2018</t>
  </si>
  <si>
    <t xml:space="preserve">Doce (12) meses, contados a partir del perfeccionamiento del contrato, aprobación de pólizas y registro presupuestal. </t>
  </si>
  <si>
    <t xml:space="preserve">EDWIN SANCHEZ ROZO </t>
  </si>
  <si>
    <t>145-2018</t>
  </si>
  <si>
    <t>SERVICIO AEREO A TERRITORIOS NACIONALES S.A.</t>
  </si>
  <si>
    <t>Suministro de tiquetes aereos nacionales para el desplazamiento de los servidores y contratistas (en cuyos contratos esté pactada esta condición), del Departamento Administrativo de la Función Pública, de conformidad con las especificaciones de la ficha técnica del Acuerdo Marco de Precios.</t>
  </si>
  <si>
    <t>PRESTACION DE SERVICIOS PROFESIONALES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</si>
  <si>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</si>
  <si>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veintiocho (28) de diciembre de 2018, de conformidad con lo estipulado por el Acuerdo Marco de Precios de Colombia Compra Eficiente.</t>
  </si>
  <si>
    <t>JULIAN MAURICIO MARTINEZ ALVARADO</t>
  </si>
  <si>
    <t>140-2018</t>
  </si>
  <si>
    <t>CATALINA MENDIETA SUAREZ</t>
  </si>
  <si>
    <t>Prestar servicios de apoyo a la gestión en la Dirección General de Función Pública, en la articulación y comunicación permanente al interior de la Entidad, para el seguimiento a las metas institucionales, y con las entidades públicas, receptoras de los lineamientos y políticas que dicta Función Pública.</t>
  </si>
  <si>
    <t>PRESTACION DE SERVICIOS DE APOYO A LA GESTION</t>
  </si>
  <si>
    <t>Ocho (8) mensualidades vencidas, cada una por valor de DOS MILLONES DE PESOS ($2.000.000) M/CTE.</t>
  </si>
  <si>
    <t>Ocho (8) meses, contado a partir del perfeccionamiento del mismo y registro presupuestal.</t>
  </si>
  <si>
    <t>DIRECCION GENERAL</t>
  </si>
  <si>
    <t>141-2018</t>
  </si>
  <si>
    <t>PSICOLOGOS ESPECIALISTAS ASOCIADOS PSEA S.A.S</t>
  </si>
  <si>
    <t xml:space="preserve">Adquirir las pruebas Test de Wartegg, para la evaluación de las competencias laborales de los aspirantes a cargos, en los distintos niveles de la Administración Pública. </t>
  </si>
  <si>
    <t>un (1) solo pago, previa presentación de la respectiva factura y expedición del certificado de cumplimiento y evaluación del contratista firmado por el supervisor. El desembolso estará supeditado al pago de los aportes al Sistema Integral de Seguridad Social en Salud, Pensión y Riesgos Laborales, así como los propios del Sena, ICBF y Cajas de Compensación Familiar, de conformidad con lo establecido en el inciso 3º del artículo 50 de la ley 789 de 2002; así como al Programa Anual Mensualizado de Caja P.A.C. y al cumplimiento de los procedimientos presupuestales.</t>
  </si>
  <si>
    <t>Un (1) mes, contado a partir de la fecha de perfeccionamiento y registro presupuestal.</t>
  </si>
  <si>
    <t xml:space="preserve">VIVIANA MARCELA FAJARDO SUÁREZ </t>
  </si>
  <si>
    <t>GRUPO DE APOYO A LA MERITOCRACIA</t>
  </si>
  <si>
    <t>018-2018</t>
  </si>
  <si>
    <t>Prestar servicios profesionales en la Oficina Asesora de Planeación de Función Pública para apoyar la articulación del Sistema Integrado de Gestión de la Entidad con el Modelo Integrado de Planeación y Gestión (MIPG).</t>
  </si>
  <si>
    <t>Cinco (5) mensualidades vencidas, cada una por valor de CINCO MILLONES OCHO MIL PESOS ($5.008.000) M/CTE</t>
  </si>
  <si>
    <t>Cinco (05) meses, contado a partir del perfeccionamiento del mismo y registro presupuestal.</t>
  </si>
  <si>
    <t xml:space="preserve">OLGA LUCÍA ARANGO  </t>
  </si>
  <si>
    <t>007-2018</t>
  </si>
  <si>
    <t>CARLOS EDUARDO HERNANDEZ VALDEBLANQUEZ</t>
  </si>
  <si>
    <t>Prestar servicios profesionales en Función Püblica para efectuar el diseño de piezas gráficas y material requerido por la Dirección General de la Entidad, asi como la diagramación de documentos y publicaciones generadas por la Entidad.</t>
  </si>
  <si>
    <t>Cinco (5) mensualidades vencidas, cada una por valor de TRES MILLONES OCHOCIENTOS NOVENTA Y CINCO MIL PESOS ($3’895.000) M/CTE.</t>
  </si>
  <si>
    <t>LAURA CORDOBA REYES</t>
  </si>
  <si>
    <t>038-2018</t>
  </si>
  <si>
    <t>Prestar servicios profesionales en la Oficina Asesora de Planeación de Función Pública, para apoyar la consolidación, documentación, operación y mejoramiento del Sistema de Información Estratégica (SIE) y su articulación con el Modelo de Gestión de la Entidad.</t>
  </si>
  <si>
    <t>Cinco (5) mensualidades vencidas, cada una por valor de SIETE MILLONES SETECIENTOS CINCUENTA Y TRES MIL DE PESOS ($7.753.000) M/CTE.</t>
  </si>
  <si>
    <t xml:space="preserve">GUILLERMO MARTINEZ DAZA </t>
  </si>
  <si>
    <t>087-2018</t>
  </si>
  <si>
    <t>Prestar servicios profesionales en el Grupo de Gestión Financiera de Función Pública, para apoyar el desarrollo de las actividades requeridas en la implementación del nuevo marco normativo para entidades de Gobierno, aplicable a partir del 1° de enero de 2018, de conformidad con las directrices impartidas por la Contaduría General de la Nación.</t>
  </si>
  <si>
    <t>Dos (2) mensualidades vencidas, cada una por valor de SIETE MILLONES QUINIENTOS MIL PESOS ($7’500.000) M/CTE.</t>
  </si>
  <si>
    <t xml:space="preserve">Dos (2) meses, contado a partir del perfeccionamiento del mismo y registro presupuestal. </t>
  </si>
  <si>
    <t xml:space="preserve">NOHORA CONSTANZA SIABATO LOZANO  </t>
  </si>
  <si>
    <t>GRUPO DE GESTION FINANCIERA</t>
  </si>
  <si>
    <t>014-2018</t>
  </si>
  <si>
    <t>ANDRES FELIPE SEGURA ARNAIZ</t>
  </si>
  <si>
    <t>Prestar servicios profesionales en la Dirección General de la Función Pública para apoyar el cumplimiento de los objetivos y metas estratégicas institucionales, asi como la comunicación y divulgacion de producto</t>
  </si>
  <si>
    <t>Cinco (5) mensualidades vencidas, cada una por valor de ONCE MILLONES DE PESOS ($11’000.000) M/CTE.</t>
  </si>
  <si>
    <t>020-2018</t>
  </si>
  <si>
    <t>MARIA HERRERA PARDO</t>
  </si>
  <si>
    <t>Prestar servicios profesionales en la Direccion General  de Función Pública, para apoyar desde una perspectiva comunicacional, la implementación y consolidación de la Estrategia de Cambio Cultural.</t>
  </si>
  <si>
    <t>Cinco (5) mensualidades vencidas, cada una por valor de TRES MILLONES OCHOCIENTOS NOVENTA YCINCO MIL PESOS ($3’895.000) M/CTE.</t>
  </si>
  <si>
    <t>136-2018</t>
  </si>
  <si>
    <t xml:space="preserve">Prestar servicios profesionales en la Dirección General de la Función Pública para apoyar la articulación, implementación, seguimiento y evaluación de la Estrategia de Pedagogía y Construcción de Paz y de la Estrategia de Cambio Cultural. </t>
  </si>
  <si>
    <t>Cinco (5) mensualidades vencidas, cada una por valor de NUEVE MILLONES QUINIENTOS MIL PESOS ($9.500.000) M/CTE.</t>
  </si>
  <si>
    <t>010-2018</t>
  </si>
  <si>
    <t>ANA MARÍA PÉREZ CARRILLO</t>
  </si>
  <si>
    <t>Prestar servicios profesionales en la Direccion General de Función Pública para apoyar la investigación producción documental y la difusión para la implementación,  consolidación y seguimiento de la Estrategia de Cambio Cultural.</t>
  </si>
  <si>
    <t>Cinco (5) mensualidades vencidas, cada una por valor de CUATRO MILLONES TRESCIENTOS CUARENTA MIL PESOS ($4’340.000) M/CTE.</t>
  </si>
  <si>
    <t>022-2018</t>
  </si>
  <si>
    <t>LINA MARIA RICAURTE SIERRA</t>
  </si>
  <si>
    <t>Prestar servicios profesionales en la Dirección General de Función Pública, para apoyar las actividades relacionadas con la implementación y seguimiento de la Estrategia de Gestión Internacional de la Entidad.</t>
  </si>
  <si>
    <t>Cinco (5) mensualidades vencidas, cada una por valor de TRES MILLONES OCHOCIENTOS NOVENTA Y CINCO MIL PESOS ($3.895.000) M/CTE.</t>
  </si>
  <si>
    <t xml:space="preserve">JULIANA TORREO QUIJANO </t>
  </si>
  <si>
    <t>011-2018</t>
  </si>
  <si>
    <t>Prestar servicios profesionales en la Dirección General de la Función Pública para apoyar la articulación, implementación, seguimiento y evaluación de la Estrategia de Pedagogía y Construcción de Paz, en el marco de la implementación del Acuerdo de Paz, de acuerdo con los compromisos adquiridos por la Entidad.</t>
  </si>
  <si>
    <t>Cinco (5) mensualidades vencidas, cada una por valor de OCHO MILLONES QUINIENTOS MIL PESOS ($8’500.000) M/CTE.</t>
  </si>
  <si>
    <t>030-2018</t>
  </si>
  <si>
    <t>SONIA ESTHER OSORIO VESGA</t>
  </si>
  <si>
    <t>Prestar servicios profesionales en la Subdirección, para apoyar la consolidación del modelo de gestión de Función Pública, asi como para efectuar el seguimiento e implementacion a los compromisos adquiridos pora las direcciones técnicas, en el marco de la apuesta estratégica institucional.</t>
  </si>
  <si>
    <t>Cinco (5) mensualidades vencidas, cada una por valor de NUEVE MILLONES DE PESOS ($9’000.000) M/CTE.</t>
  </si>
  <si>
    <t>FERNANDO AUGUSTO MEDINA GUTIERREZ</t>
  </si>
  <si>
    <t>004-2018</t>
  </si>
  <si>
    <t>JULIAN ALBERTO TRUJILLO</t>
  </si>
  <si>
    <t>Prestar servicios profesionales para apoyar a la Subdireccion de Función Püblica, en la proyección y revisión jurídica de los documentos emitidos por la misma, asi como en la gestion administrativa y presupuestal necesaria, para cumplir con las metas establecidas en el marco estratégico, en desarrollo del proyecto de inversión a su cargo.</t>
  </si>
  <si>
    <t>Cinco (5) mensualidades vencidas, cada una por valor de OCHO MILLONES TRESCIENTOS MIL PESOS ($8’300.000) M/CTE.</t>
  </si>
  <si>
    <t>008-2018</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</si>
  <si>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pora la Entidad.</t>
  </si>
  <si>
    <t>Cinco (5) mensualidades vencidas, cada una por valor de TRES MILLONES TREINTA Y TRES MIL PESOS ($3’033.000) M/CTE.</t>
  </si>
  <si>
    <t>005-2018</t>
  </si>
  <si>
    <t>MARIA ALEJANDRA ARIAS HERNANDEZ</t>
  </si>
  <si>
    <t>Prestar servicios profesionales en la Direccion General de Función Pública para apoyar el desarrollo de actividades relacionadas con la Estrategia de Pedagogía y Construcción de Paz, en el marco de la implementación  del Acuerdo de Paz, de acuerdo con los compromisos adquiridos por la Entidad.</t>
  </si>
  <si>
    <t>Cinco (5) mensualidades vencidas, cada una por valor de SEIS MILLONES DE PESOS ($6’000.000) M/CTE.</t>
  </si>
  <si>
    <t>042-2018</t>
  </si>
  <si>
    <t>FERLEY RUIZ MORENO</t>
  </si>
  <si>
    <t>Prestar servicios profesionales en la Dirección General de la Función Pública, para apoyar el desarrollo de las actividades encaminadas al fortalecimiento de capacidades de los servidores y entidades públicas, relacionadas con la Estrategia de Pedagogía y Contrucción de Paz, en el marco de la implementación del Acuerdo de Paz, de acuerdo con los compromisos adquiridos por la Entidad.</t>
  </si>
  <si>
    <t>001-2018</t>
  </si>
  <si>
    <t xml:space="preserve">Prestar servicios profesionales en el Grupo de Gestión Contractual de Función Pública para apoyar el desarrollo de procesos de selección y contratación necesarios para la adquisición de bienes, servicios y obras requeridos por la Entidad. </t>
  </si>
  <si>
    <t>Cinco (5) mensualidades vencidas, cada una por valor de CINCO MILLONES DE PESOS ($5’000.000) M/CTE</t>
  </si>
  <si>
    <t>DORIS ATAHUALPA POLANCO</t>
  </si>
  <si>
    <t>GRUPO DE GESTION CONTRACTUAL</t>
  </si>
  <si>
    <t>002-2018</t>
  </si>
  <si>
    <t>DIANA BERMUDEZ CETINA</t>
  </si>
  <si>
    <t>044-2018</t>
  </si>
  <si>
    <t>JULY AMANDA MUÑOZ CHOACHI</t>
  </si>
  <si>
    <t>Prestar servicios de apoyo a la gestión en el Grupo de Gestión Contractual de Función Pública para el archivo de los documentos generados en desarrollo de los procesos de selección y contratación necesarios para la adquisición de bienes, servicios y obras requeridos por la Entidad.</t>
  </si>
  <si>
    <t>Cinco (5) mensualidades vencidas, cada una por valor de UN MILLÓN NOVECIENTOS NUEVE MIL PESOS ($1’909.000) M/CTE</t>
  </si>
  <si>
    <t>012-2018</t>
  </si>
  <si>
    <t>SERGIO MEJIA DUSSAN</t>
  </si>
  <si>
    <t>Prestar servicios profesionales en la Oficina Asesora de Planeación de Función Pública para apoyar la consolidación de información de entidades del orden territorial en el Sistema de Información Estratégica (SIE).</t>
  </si>
  <si>
    <t>Cinco (5) mensualidades vencidas, cada una por valor de CINCO MILLONES SETECIENTOS MIL PESOS ($5’700.000) M/CTE.</t>
  </si>
  <si>
    <t>006-2018</t>
  </si>
  <si>
    <t>Prestar servicios profesionales en el Grupo de Servicio al Ciudadano Institucional de Función Püblica, para apoyar el fortalecimiento del primer nivel de servicio en materia de producción  de información  y generación de reportes.</t>
  </si>
  <si>
    <t>Cinco (5) mensualidades vencidas, cada una por valor de CINCO MILLONES DOSCIENTOS TREINTA Y UN MIL PESOS ($5’231.000) M/CTE.</t>
  </si>
  <si>
    <t>JAIME HUMBERTO JIMENEZ VERGEL</t>
  </si>
  <si>
    <t>GRUPO DE SERVICIO AL CIUDADANO INSTITUCIONAL</t>
  </si>
  <si>
    <t>098-2018</t>
  </si>
  <si>
    <t>Prestar servicios de apoyo a la gestión, en la Secretaría General de Función Pública, en lo relacionado con el seguimiento a los diferentes planes suscritos por ésta dependencia y sus grupos internos de trabajo, así como la revisión de documentos generados por las mismas.</t>
  </si>
  <si>
    <t>Ocho (8) mensualidades vencidas, cada una por valor de UN MILLON OCHOCIENTOS MIL PESOS ($1.800.000) M/CTE.</t>
  </si>
  <si>
    <t>NATALIA ASTRID CARDONA RAMIREZ</t>
  </si>
  <si>
    <t>034-2018</t>
  </si>
  <si>
    <t>CHRISTIAN ALEXANDER FLOREZ GUERRERO</t>
  </si>
  <si>
    <t>Prestar servicios profesionales en la Dirección de Empleo Publico de Función Pública, para apoyar la implementación y seguimiento de la tercera convocatoria del Programa Estado Joven, asi como del programa servimos y de los compromisos derivados de los convenios en materia de empleo público.</t>
  </si>
  <si>
    <t>Cinco (5) mensualidades vencidas, cada una por valor de SEIS MILLONES TRESCIENTOS MIL PESOS ($6’300.000) M/CTE.</t>
  </si>
  <si>
    <t>FRANCISCO ALFONSO CAMARGO SALAS</t>
  </si>
  <si>
    <t>DIRECCION DE EMPLEO PUBLICO</t>
  </si>
  <si>
    <t>027-2018</t>
  </si>
  <si>
    <t>ALEXANDER MARQUEZ RIOS</t>
  </si>
  <si>
    <t>Prestar servicios profesionales en la Dirección de Empleo Publico de Función Pública para apoyar la implementación, revisión  y consolidación de los resultados del desarrollo de la política de Empleo Público y de la Gestión Estratégica del Talento Humano y proponer las recomendaciones y buenas prácticas que permitan hacer ajustes a las mismas.</t>
  </si>
  <si>
    <t>Cinco (5) mensualidades vencidas, cada una por valor de OCHO MILLONES SETECIENTOS TREINTA Y SEIS MIL PESOS ($8’736.000) M/CTE.</t>
  </si>
  <si>
    <t>077-2018</t>
  </si>
  <si>
    <t>JASMITH ADRIANA ROJAS MARTINEZ</t>
  </si>
  <si>
    <t>Prestar servicios en la Dirección de Empleo Público de Función Pública para apoyar en la elaboración y actualización de los instrumentos técnicos para el desarrollo e implementación de la Política de Empleo Público y Gestión Estrategica del Tlento Humano; así como en la implementación y desarrollo de los diplomados en Alta Dirección del Estado.</t>
  </si>
  <si>
    <t>Cinco (5) mensualidades vencidas, cada una por valor de OCHO MILLONES DE PESOS ($8’000.000) M/CTE.</t>
  </si>
  <si>
    <t>033-2018</t>
  </si>
  <si>
    <t>KAROL YOLIMA MERCHAN PARRA</t>
  </si>
  <si>
    <t>Prestar servicios profesionales en el Grupo de Gestión Documental de Función Pública, para apoyar la actualización e implementación de instrumentos archivisticos de la entidad, asi como para verificar los requerimientos funcionales del sistema de gestión de documentos electronicos de archivo.</t>
  </si>
  <si>
    <t>Seis (6) mensualidades vencidas, cada una por valor de CINCO MILLONES PESOS ($5’000.000) M/CTE.</t>
  </si>
  <si>
    <t>Seis (06) meses, contado a partir del perfeccionamiento del mismo y registro presupuestal.</t>
  </si>
  <si>
    <t>JUDY MAGALI RODRIGUEZ SANTANA</t>
  </si>
  <si>
    <t>GRUPO DE GESTION DOCUMENTAL</t>
  </si>
  <si>
    <t>009-2018</t>
  </si>
  <si>
    <t>Prestar servicios profesionales en Función Püblica para apoyar a la Entidad en materia de Gestión Ambiental, con el fin de dar cumplimiento a la normativa vigente, según lo contemplado den el Plan de Austeridad y Gestión Ambiental de la Entidad.</t>
  </si>
  <si>
    <t>Seis (6) mensualidades vencidas, cada una por valor de CINCO MILLONES TRESCIENTOS OCHENTA Y SEIS MIL SETECIENTOS PESOS ($5’386.700) M/CTE.</t>
  </si>
  <si>
    <t>013-2018</t>
  </si>
  <si>
    <t>CLARA INES COLLAZOS MARTINEZ</t>
  </si>
  <si>
    <t>Prestar servicios profesionales en la Dirección de Deasarrollo Organizacional de Función Pública  para apoyar la implementación, seguimiento, monitoreo y evaluación de tercera fase de la Estrategía de Gestión Territorial.</t>
  </si>
  <si>
    <t>Cinco (5) mensualidades vencidas, cada una por valor de ONCE MILLONES DOSCIENTOS NOVENTA MIL PESOS ($11’290.000) M/CTE.</t>
  </si>
  <si>
    <t>ALEJANDRO BECKER ROJAS</t>
  </si>
  <si>
    <t xml:space="preserve">DIRECCION DE DESARROLLO ORGANIZACIONAL  </t>
  </si>
  <si>
    <t>029-2018</t>
  </si>
  <si>
    <t>ROSA MARIA BOLAÑOS TOVAR</t>
  </si>
  <si>
    <t>Prestar servicios profesionales en la Dirección de Deasarrollo Organizacional de Función Pública, para apoyar la implementación de la Estrategía de Gestión Territorial, en materia de seguimiento a la ejecución de metas y recursos, asi como frente al control de las asesorías.</t>
  </si>
  <si>
    <t>Cinco (5) mensualidades vencidas, cada una por valor de CIINCO MILLONES OCHO MIL PESOS ($5’008.000) M/CTE.</t>
  </si>
  <si>
    <t>032-2018</t>
  </si>
  <si>
    <t>LINA MARÍA AYCARDI ALDANA</t>
  </si>
  <si>
    <t>Prestar servicios profesionales en la Dirección de Desarrollo Organizacional de Función Pública, para apoyar la implementación de la tercera fase de la Estrategia de Desarrollo de Capacidad de entidades públicas, a través de la elaboración de propuestas de rediseños, a partir de la estructuración y el aprovechamiento de análisis sectoriales en el marco del postconflicto.</t>
  </si>
  <si>
    <t>Cinco (5) mensualidades vencidas, cada una por valor de NUEVE MILLONES DE PESOS ($9.000.000) M/CTE</t>
  </si>
  <si>
    <t>031-2018</t>
  </si>
  <si>
    <t>JAIME ANDRES URAZAN LEAL</t>
  </si>
  <si>
    <t>Prestar servicios profesionales en la Dirección de Deasarrollo Organizacional de Función Pública, para apoyar los aspectos técnicos, metodológicos y financieros relacionados con la implementación de la tercera fase de la Estrategia de Gestión Territorial.</t>
  </si>
  <si>
    <t>Cinco (5) mensualidades vencidas, cada una por valor de SIETE MILLONES CIENTO SESENTA Y SEIS MIL PESOS ($7’166.000) M/CTE.</t>
  </si>
  <si>
    <t>050-2018</t>
  </si>
  <si>
    <t>DORIS JULIETA GONZÁLEZ AREVALO</t>
  </si>
  <si>
    <t>Prestar servicios profesionales en Función Pública para apoyar los trámites administrativos requeridos para el otorgamiento de comisiones de servicio y desplazamientos de servidores y contratistas al interior del país, para iniciar la ejecución de la tercera fase de la Estrategia de Gestiín Territorial.</t>
  </si>
  <si>
    <t>Cinco (5) mensualidades vencidas, cada una por valor de DOS MILLONES OCHOCIENTOS MIL PESOS ($2’800.000) M/CTE.</t>
  </si>
  <si>
    <t>DIANA MARCELA GOMEZ ANZOLA</t>
  </si>
  <si>
    <t>GRUPO DE GESTION HUMANA</t>
  </si>
  <si>
    <t>021-2018</t>
  </si>
  <si>
    <t>LEIDY CAROLINA MOGOLLON DELGADO</t>
  </si>
  <si>
    <t>Prestar servicios profesionales en la Dirección de Gestión del Conocimiento de Función Pública, para apoyar el fortalecimiento de la producción escrita a través de la revisión documental y estandarización del proceso editorial de la Entidad, así como el seguimiento a la implementación de la dimensión de gestión del conocimiento y la innovación del MIPG.</t>
  </si>
  <si>
    <t>Cinco (5) mensualidades vencidas, cada una por valor de CUATRO MILLONES OCHOCIENTOS NOVENTA Y SIETE MIL PESOS ($4’897.000) M/CTE.</t>
  </si>
  <si>
    <t xml:space="preserve">DIEGO ALEJANDRO BELTRAN OGILVIE-BROWNE </t>
  </si>
  <si>
    <t>DIRECCION DE GESTION DEL CONOCIMIENTO</t>
  </si>
  <si>
    <t>025-2018</t>
  </si>
  <si>
    <t>SARA RESTREPO PEREZ</t>
  </si>
  <si>
    <t>Prestar servicios profesionales en la Dirección de Gestión del Conocimiento de Función Pública, para apoyar la difusión de las herramientas desarrolladas en el marco del convenio N° 779 de 2016 con Colciencias y apoyar la implementación de la dimensión de gestión del conocimiento y la innovación del Modelo Integrado de Planeación y Gestión -MIPG.</t>
  </si>
  <si>
    <t>035-2018</t>
  </si>
  <si>
    <t>LINA MARIA VASQUEZ CASTRO</t>
  </si>
  <si>
    <t>Prestar servicios profesionales  en la Direccion de Gestión y Desempeño Institucional de Función Pública para apoyar la implementación y medición del Modelo Integrado de Planeación y Gestión MIPG, asi como contribuir a la evaluación de su incidencia en el desempeño institucional de las entidades objeto de su aplicación.</t>
  </si>
  <si>
    <t>Cinco (5) mensualidades vencidas de CINCO MILLONES DE PESOS ($5’000.000) M/CTE.</t>
  </si>
  <si>
    <t>ARLINGTON FONSECA</t>
  </si>
  <si>
    <t>DIRECCION DE GESTION Y DESEMPEÑO INSTITUCIONAL</t>
  </si>
  <si>
    <t>037-2018</t>
  </si>
  <si>
    <t>028-2018</t>
  </si>
  <si>
    <t>Prestar servicios profesionales  para apoyar la actualizacion de herramientas orientadas a facilitar la implementacion  de las politicas a cargo de la Dirección de Participación, Transparencia y Servicio al Ciudadano de Función Pública, asi como la validación metodológica para la adecuada implementación de las mismas por parte de las entidades públicas.</t>
  </si>
  <si>
    <t>Cinco (5) mensualidades vencidas, cada una por valor de SIETE MILLONES TRESCIENTOS CINCUENTA MIL PESOS ($7’350.000) M/CTE.</t>
  </si>
  <si>
    <t>DIRECCION DE PARTICIPACION, TRANSPARENCIA Y SERVICIO AL CIUDADANO</t>
  </si>
  <si>
    <t>088-2018</t>
  </si>
  <si>
    <t>Prestar servicios profesionales en la Dirección de Participación, Transparencia y Servicio al Ciudadano de Función Pública, para apoyar la puesta en marcha de las políticas de participación ciudadana, en particular  del Sistema de Rendición de Cuentas y su articulación con los espacios de participación ciudadana, en el marco de la implementación del Acuerdo  Final para la Terminación del Conflicto y la Construcción de una Paz Estable y Duradera”.</t>
  </si>
  <si>
    <t>Cinco (5) mensualidades vencidas, cada una por valor de CUATRO MILLONES OCHOCIENTOS NOVENTA Y SIETE MIL PESOS ($4.897.000) M/CTE</t>
  </si>
  <si>
    <t>Cinco (5) meses, contado a partir del perfeccionamiento del mismo y registro presupuestal.</t>
  </si>
  <si>
    <t xml:space="preserve">SUSAN SIMONETH SUÁREZ GUTIÉRREZ </t>
  </si>
  <si>
    <t>024-2018</t>
  </si>
  <si>
    <t>LAURA CAMILA RONDON LIZARAZO</t>
  </si>
  <si>
    <t>Prestar servicios profesionales en la Dirección de Participación, Transparencia y Servicio al Ciudadano de Función Pública, para apoyar la implementación de herramientas para la Política de Integridad, así como el seguimiento de metas, y compromisos nacionales e internacionales en materia de democratización de la administración pública a cargo de dicha dependencia.</t>
  </si>
  <si>
    <t xml:space="preserve">FERNANDO AUGUSTO SEGURA RESTREPO </t>
  </si>
  <si>
    <t>036-2018</t>
  </si>
  <si>
    <t>Prestar servicios profesionales en la Dirección de Participación, Transparencia y Servicio al Ciudadano de Función Pública, para apoyar a las entidades de la Administración Pública, en la revisión de procesos asociados a trámites, identificación de acciones de simplificación y su implementación.</t>
  </si>
  <si>
    <t>026-2018</t>
  </si>
  <si>
    <t>ANA MILENA CACERES CASTRO</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</si>
  <si>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políticas a cargo de ésta dependencia.</t>
  </si>
  <si>
    <t>Cinco (5) mensualidades vencidas, cada una por valor de SIETE MILLONES TRESCIENTOS CINCUENTA MIL PESOS ($7.350.000) M/CTE.</t>
  </si>
  <si>
    <t>045-2018</t>
  </si>
  <si>
    <t>GLORIA ESPERANZA JIMENEZ CABRERA</t>
  </si>
  <si>
    <t>Prestar servicios de apoyo a la gestión en la Dirección Jurídica de Función Pública para la digitación, cargue, descargue y depuración de información en el Gestor Normativo de la Entidad.</t>
  </si>
  <si>
    <t>Cinco (5) mensualidades vencidas, cada una por valor de UN MILLÓN SEISCIENTOS OCHENTA Y CINCO MIL PESOS ($1’685.000) M/CTE</t>
  </si>
  <si>
    <t xml:space="preserve">LUIS FERNANDO NUÑEZ RINCÓN </t>
  </si>
  <si>
    <t>DIRECCION JURIDICA</t>
  </si>
  <si>
    <t>124-2018</t>
  </si>
  <si>
    <t>LADY JOHANA TORRES LAVERDE</t>
  </si>
  <si>
    <t>Prestar servicios profesionales en la Dirección Juridica de Función Pública para apoyar la busqueda de extractos, reseñas, jurisprudencia, normas y demas documentos juridicos que permitan la publicación o actualización de información en el Gestor Normativo de la Entidad.</t>
  </si>
  <si>
    <t>Cinco (5) mensualidades vencidas, cada una por valor de DOS MILLONES QUINIENTOS OCHENTA Y CUATRO MIL PESOS ($2.584.000) M/CTE.</t>
  </si>
  <si>
    <t>047-2018</t>
  </si>
  <si>
    <t>MARIA JOSE DEL RIO ARIAS</t>
  </si>
  <si>
    <t>Prestar servicios profesionales en la Dirección Jurídica de Función Pública, para apoyar todos los aspectos relativos a la Contratación Estatal, y a la expedición de conceptos.</t>
  </si>
  <si>
    <t>Cinco (5) mensualidades vencidas cada una por valor de SIETE MILLONES TRESCIENTOS CINCUENTA MIL PESOS ($7’350.000) M/CTE</t>
  </si>
  <si>
    <t>049-2018</t>
  </si>
  <si>
    <t>LUIS AREVALO MANTILLA</t>
  </si>
  <si>
    <t>Prestar servicios profesionales en la Oficina Asesora de Comunicaciones de Función Pública para apoyar el diseño y diagramación de documentos, publicaciones técnicas, asi como la producción y generacion de piezas gráficas, en el marco de la Estrategia de Comunicaciones.</t>
  </si>
  <si>
    <t>Cinco (5) mensualidades vencidas, cada una por valor de CUATRO MILLONES SETECIENTOS MIL PESOS ($4’700.000) M/CTE.</t>
  </si>
  <si>
    <t>DIANA MARIA BOHORQUEZ LOSADA</t>
  </si>
  <si>
    <t>043-2018</t>
  </si>
  <si>
    <t>JORGE IVAN GIRALDO DIAZ</t>
  </si>
  <si>
    <t>Prestar servicios profesionales en la Oficina Asesora de Comunicaciones| de Función Pública, para apoyar la difusión de contenidos e información de la Entidad en redes sociales institucionales, en el marco de la estrategia de comunicaciones.</t>
  </si>
  <si>
    <t>Cinco (5) mensualidades vencidas, cada una por valor de TRES MILLONES OCHOCIENTOS MIL PESOS ($3’800.000) M/CTE.</t>
  </si>
  <si>
    <t>040-2018</t>
  </si>
  <si>
    <t>EDGAR ALIRIO VELOSA ARIAS</t>
  </si>
  <si>
    <t>Prestar servicios profesionales en la oficina asesora de comunicaciones de Función Pública, para apoyar la generación de contenidos informativos  que permitan divulgar la gestión de la entidad, en el marco de la estrategia de comunicaciones</t>
  </si>
  <si>
    <t>Cinco (5) mensualidades vencidas, cada una por valor de CUATRO MILLONES DOSCIENTOS MIL PESOS ($4’200.000) M/CTE.</t>
  </si>
  <si>
    <t>003-2018</t>
  </si>
  <si>
    <t>Prestar servicios profesionales en la Oficina de Tecnologías de la Información y las Comunicaciones de Función Pública para adelantar los procesos de selección. Incluyendo las fases precontractual, contractual y post-contractual, necesarios para la adquisicion de bienes y servicios con cargo al proyecto de inversion "Mejoramiento de la Gestión de las Politicas Publicas a Través  de las Tecnologías de Información TICS".</t>
  </si>
  <si>
    <t>Cinco (5) mensualidades vencidas, cada una por valor de CUATRO MILLONES DOSCIENTOS CUARENTA MIL PESOS ($4’240.000) M/CTE.</t>
  </si>
  <si>
    <t>HECTOR JULIO MELO OCAMPO</t>
  </si>
  <si>
    <t xml:space="preserve">OFICINA DE TECNOLOGIAS DE LA INFORMACION Y LAS COMUNICACIONES </t>
  </si>
  <si>
    <t>015-2018</t>
  </si>
  <si>
    <t>GREISTLY KARINE VEGA PEREZ</t>
  </si>
  <si>
    <t>Prestar servicios profesionales en la Oficina de Tecnologías de la Información y las Comunicaciones de Función Pública para apoyar desde el punto de vista financiero en los procesos de selección para la adquisición de bienes y servicios con cargo al Proyecto de Inversión “Mejoramiento de la Gestión de las Políticas Públicas a Través de las Tecnologías de Información TICS”</t>
  </si>
  <si>
    <t>016-2018</t>
  </si>
  <si>
    <t>VICTOR HUGO JAUREGUI PAZ</t>
  </si>
  <si>
    <t>Prestar servicios profesionales en la Oficina de Tecnologías de la Información y las Comunicaciones de Función Pública, para apoyar el desarrollo, optimización, mejoramiento, actualización, monitoreo y mantenimiento de los sistemas de información y gestión misionales y de apoyo de la Entidad, así como los portales web que apoyan dichos sistemas, incorporando los lineamientos de Gobierno Digital.</t>
  </si>
  <si>
    <t>Cinco (5) mensualidades vencidas, cada una por valor de SIETE MILLONES DE PESOS ($7’000.000) M/CTE.</t>
  </si>
  <si>
    <t>FRANCISCO JOSE URBINA SUAREZ</t>
  </si>
  <si>
    <t>017-2018</t>
  </si>
  <si>
    <t xml:space="preserve">Prestar servicios profesionales en la Oficina de Tecnologías de la Información y las Comunicaciones de Función Pública, para apoyar las necesidades de desarrollo, integración y mejoramiento de los sistemas de información y gestión misionales y de apoyo de la Entidad, así como de los portales web que soportan dichos sistemas, incorporando los lineamientos de Gobierno Digital. </t>
  </si>
  <si>
    <t>Cinco (5) mensualidades vencidas, cada una por valor de SEIS MILLONES QUINIENTOS DIEZ MIL PESOS ($6’510.000) M/CTE.</t>
  </si>
  <si>
    <t>ASTRID RUIZ ZAMUDIO</t>
  </si>
  <si>
    <t>041-2018</t>
  </si>
  <si>
    <t>JACK LEONARDO MARTINEZ VANEGAS</t>
  </si>
  <si>
    <t>Prestar servicios profesionales en la Oficina de Tecnologias de la Información y las Comunicaciones de Función Pública, para apoyar las necesidades de desarrollo, integración y mejoramiento de los sistemas de información y gestión misionales y de apoyo de la Entidad, asi como de los portales web que soportan dichos sistemas, incorporando los lineamientos de gobierno digital.</t>
  </si>
  <si>
    <t>EDUAR ALFONSO GAVIRIA VERA</t>
  </si>
  <si>
    <t>039-2018</t>
  </si>
  <si>
    <t>PEDRO ANTONIO GARCIA MEDINA</t>
  </si>
  <si>
    <t>Cinco (5) mensualidades vencidas de SEIS MILLONES QUINIENTOS DIEZ MIL PESOS ($6’510.000) M/CTE.</t>
  </si>
  <si>
    <t>019-2018</t>
  </si>
  <si>
    <t>Prestar servicios profesionales en la Oficina Asesora de Planeación para apoyar el mejoramiento funcional de las herramientas y documentación del Sistema Integrado de Gestión de Función Pública, bajo los lineamientos del Modelo Integrado de Planeación y Gestión (MIPG) y demás requisitos aplicables a la Entidad.</t>
  </si>
  <si>
    <t>023-2018</t>
  </si>
  <si>
    <t>JOHANNA JIMENEZ CORREA</t>
  </si>
  <si>
    <t>Prestar servicios profesionales en la Oficina Asesora de Planeación de Función Pública para apoyar la formulación y monitoreo del Plan de Acción Anual 2018, así como el seguimiento de las metas e indicadores del Plan Nacional de Desarrollo, Plan Estratégico Sectorial y Plan de Acción Anual.</t>
  </si>
  <si>
    <t>Cinco (5) mensualidades vencidas, cada una por valor de CINCO MILLONES QUINIENTOS DOCE MIL PESOS ($5’512.000) M/CTE.</t>
  </si>
  <si>
    <t>048-2018</t>
  </si>
  <si>
    <t>ALEXANDER HERNANDEZ ZORRO</t>
  </si>
  <si>
    <t>Cinco (5) mensualidades vencidas, cada una por valor de CINCO MILLONES OCHO MIL PESOS ($5.008.000) M/CTE.</t>
  </si>
  <si>
    <t>103-2018</t>
  </si>
  <si>
    <t>ROCIO LONDOÑO BOTERO</t>
  </si>
  <si>
    <t>Prestar servicios profesionales en la Dirección General de Función Pública, para articular y revisar la información necesaria para la elaboración de un informe sobre la evolución del empleo público en Colombia.</t>
  </si>
  <si>
    <t>Tres (3) mensualidades vencidas, cada una por valor de SIETE MILLONES CIENTO SESENTA Y SEIS MIL PESOS ($7’166.000) M/CTE.</t>
  </si>
  <si>
    <t>Tres (3) meses, contado a partir del perfeccionamiento del mismo y registro presupuestal.</t>
  </si>
  <si>
    <t>104-2018</t>
  </si>
  <si>
    <t>OMAR LORENZO SALINAS VILLAMIZAR</t>
  </si>
  <si>
    <t>Prestar servicios profesionales en la Dirección General de Función Pública, para apoyar la revisión de la información necesaria para la elaboración de un informe sobre la evolución del empleo público en Colombia.</t>
  </si>
  <si>
    <t>Tres (3) mensualidades vencidas, cada una por valor de CINCO MILLONES DOSCIENTOS TREINTA Y UN MIL PESOS ($5’231.000) M/CTE.</t>
  </si>
  <si>
    <t>105-2018</t>
  </si>
  <si>
    <t>OSCAR DAVID SAIDIZA PEÑUELA</t>
  </si>
  <si>
    <t>Prestar servicios profesionales en la Dirección General de Función Pública, para apoyar la elaboración de instrumentos de recolección, asi como la recopilación, revisión y organización de la información, que conduzca a la elaboración de un informe sobre la evolución del empleo público en colombia.</t>
  </si>
  <si>
    <t>Tres (3) mensualidades vencidas, cada una por valor de SEIS MILLONES TRESCIENTOS NOVENTA Y CUATRO MIL PESOS ($6’394.000) M/CTE.</t>
  </si>
  <si>
    <t>100-2018</t>
  </si>
  <si>
    <t>MARIANA DE JESUS PEREA URREA</t>
  </si>
  <si>
    <t>Prestar servicios de apoyo a la Gestión en la Dirección General de Función Pública, para la recopilación, organización y control de la información, que contribuya a la elaboración de un informe sobre la evolución del empleo público en Colombia.</t>
  </si>
  <si>
    <t>Tres (3) mensualidades vencidas, cada por un valor de UN MILLON TRESCIENTOS CINCUENTA MIL PESOS ($1’350.000) M/CTE</t>
  </si>
  <si>
    <t>076-2018</t>
  </si>
  <si>
    <t xml:space="preserve">Prestar servicios profesionales en la Dirección General de Función Pública, para apoyar la elaboración y revisión de documentos institucionales relacionados con las metas, objetivos, planes, programas y proyectos y resultados de la Entidad. </t>
  </si>
  <si>
    <t>Cinco (5) mensualidades vencidas, cada una por valor de DOS MILLONES DE PESOS ($2’000.000) M/CTE.</t>
  </si>
  <si>
    <t xml:space="preserve">ANDRÉS FELIPE SEGURA ARNAIZ </t>
  </si>
  <si>
    <t>133-2018</t>
  </si>
  <si>
    <t>LORENA CATALINA RODRIGUEZ MORENO</t>
  </si>
  <si>
    <t>Prestar servicios profesionales en la Dirección General de Función Pública, para apoyar la elaboración, implementación, revisión de resultados y divulgación de indicadores y otras herramientas de seguimiento, para la Estrategia de Cambio Cultural.</t>
  </si>
  <si>
    <t>Ocho (8) mensualidades vencidas, cada una por valor de TRES MILLONES OCHOCIENTOS NOVENTA Y CINCO MIL PESOS ($3´895.000) M/CTE.</t>
  </si>
  <si>
    <t>144-2018</t>
  </si>
  <si>
    <t>TATIANA FORERO TORRES</t>
  </si>
  <si>
    <t>Prestar los servicios profesionales en la  Dirección de Gestión del Conocimiento de Función Pública, para apoyar el desarrollo del balance y prospectiva sobre la capacidad de cambio cultural en el sector público colombiano, asi como en la implementación de las acciones pedagógicas relacionadas que identifique en la Entidad.</t>
  </si>
  <si>
    <t>Cinco (5) mensualidades vencidas, cada una por valor de CINCO MILLONES NOVECIENTOS CINCUENTA Y TRES MIL PESOS ($5.953.000) M/CTE.</t>
  </si>
  <si>
    <t>119-2018</t>
  </si>
  <si>
    <t>SANTIAGO LEYVA BOTERO</t>
  </si>
  <si>
    <t>Prestar servicios profesionales en la Dirección de Gestión del Conocimiento de Función Pública, para apoyar la elaboración de un (1) documento de balance y prospectiva sobre la capacidad de cambio institucional en el sector público colombiano.</t>
  </si>
  <si>
    <t>Dos (2) mensualidades vencidas, cada una por valor de SIETE MILLONES QUINIENTOS MIL PESOS ($7.500.000) M/CTE</t>
  </si>
  <si>
    <t>Dos (2) meses, contado a partir del perfeccionamiento del mismo y registro presupuestal.</t>
  </si>
  <si>
    <t>129-2018</t>
  </si>
  <si>
    <t>JUAN MANUEL CHARRY URUEÑA</t>
  </si>
  <si>
    <t>Prestar servicios profesionales en la Dirección de Gestión del Conocimiento de Función Pública para apoyar la elaboración de un documento especializado que contenga el desarrollo normativo y avance jurisprudencial que regía en Colombia antes de la Constitución de 1991 y hasta la fecha, así como éstos han contribuido al mejoramiento de la administración pública, en temas de competencia de Función Pública.</t>
  </si>
  <si>
    <t>110-2018</t>
  </si>
  <si>
    <t>IVAN ALEJANDRO ORTIZ CARDONA</t>
  </si>
  <si>
    <t>Prestar servicios de apoyo a la gestión en la Dirección de Gestión del Conocimiento de Función Pública, para efectuar la consolidación de la información generada en el proceso de gestión del conocimiento de grupos de valor y en el proceso de generación de productos y servicios para la gestión pública.</t>
  </si>
  <si>
    <t>Ocho (8) mensualidades vencidas, cada una por valor de UN MILLÓN NOVECIENTOS NUEVE MIL PESOS ($1’909.000) M/CTE.</t>
  </si>
  <si>
    <t>132-2018</t>
  </si>
  <si>
    <t>ELISABETH UNGAR BLEIER</t>
  </si>
  <si>
    <t>Prestar servicios profesionales en la Dirección de Participación, Transparencia y Servicio al Ciudadano de Función Pública, para apoyar la revisión de los productos de análisis y política de ésta Dirección y su pertinencia, así como proponer mejoras a los mismos, para fortalecer el posicionamiento de las políticas de relación Estado-ciudadano a cargo de la Entidad.</t>
  </si>
  <si>
    <t>Tres (3) mensualidades vencidas, cada una por valor de QUINCE MILLONES DE PESOS ($15’000.000) M/CTE.</t>
  </si>
  <si>
    <t>FERNANDO AUGUSTO SEGURA RESTREPO</t>
  </si>
  <si>
    <t>065-2018</t>
  </si>
  <si>
    <t>PAULA VANESSA PAEZ BARRETO</t>
  </si>
  <si>
    <t>Prestar servicios profesionales en la Dirección de Participación, Transparencia y Servicio al Ciudadano de Función Pública, para apoyar la elaboración, articulación y desarrollo de la estrategia de acompañamiento a entidades del nivel nacional y territorial, para la implementación del Sistema de Rendición de Cuentas del “Acuerdo Final para la Terminación del Conflicto y la Construcción de una Paz Estable y Duradera”, así como en la ejecución y articulación de éste, con espacios de participación ciudadana, sistemas de información existentes y retroalimentación al sistema de rendición de cuentas diseñado.</t>
  </si>
  <si>
    <t>Ocho (8) mensualidades vencidas, cada una por valor de SIETE MILLONES TRESCIENTOS CINCUENTA MIL PESOS ($7’350.000) M/CTE</t>
  </si>
  <si>
    <t>Ocho (08) meses, contado a partir del perfeccionamiento del mismo y registro presupuestal.</t>
  </si>
  <si>
    <t>079-2018</t>
  </si>
  <si>
    <t>CLAUDIA PATRICIA DIAZ BAQUERO</t>
  </si>
  <si>
    <t>Prestar servicios profesionales en la Dirección de Participación, Transparencia y Servicio al Ciudadano de Función Pública, para apoyar la implementación y seguimiento a las iniciativas de simplificación de reportes, que las entidades territoriales deban presentar a las entidades nacionales.</t>
  </si>
  <si>
    <t>Ocho (8) mensualidades vencidas, cada una por valor de SEIS MILLONES DE PESOS ($6’000.000) M/CTE.</t>
  </si>
  <si>
    <t>Ocho (8) meses, contados a partir del perfeccionamiento del mismo y registro presupuestal.</t>
  </si>
  <si>
    <t>111-2018</t>
  </si>
  <si>
    <t>GERMAN ANDRES MAHECHA SUAREZ</t>
  </si>
  <si>
    <t>Prestar los servicios profesionales en la Oficina de Tecnologías de la Información y las Comunicaciones de Función Pública, para apoyar las necesidades de desarrollo e integración, del Sistema de Rendición de Cuentas para la implementación del Acuerdo de Paz, así como de las nuevas funcionalidades y procesos de administración, del Manual Único de Rendición de Cuentas.</t>
  </si>
  <si>
    <t>Cinco (5) mensualidades vencidas, cada una por valor de SEIS MILLONES QUINIENTOS DIEZ MIL PESOS ($6.510.000) M/CTE.</t>
  </si>
  <si>
    <t>053-2018</t>
  </si>
  <si>
    <t>MONICA SILVA ELIAS</t>
  </si>
  <si>
    <t>Prestar servicios profesionales en la Oficina de Tecnologias de la Información y las Comunicaciones de Función Pública, para realizar el diseño gráfico y las piezas gráficas de los portales y micrositios de la Entidad, los cursos virtuales y la red virtual de servidores públicos, asi como apoyar la migración de EVA  a la plataforma Liferay DXP.</t>
  </si>
  <si>
    <t>Ocho (8) mensualidades vencidas, cada una por valor de CINCO MILLONES TRESCIENTOS MIL PESOS ($5’300.000) M/CTE.</t>
  </si>
  <si>
    <t>ROGER QUIRAMA GARCIA</t>
  </si>
  <si>
    <t>051-2018</t>
  </si>
  <si>
    <t>JOHNAHAN ARROYO ARROYO</t>
  </si>
  <si>
    <t>Prestar servicios profesionales en la Oficina de las Tecnologías de la Información y las Comunicaciones de Función Pública, para el desarrollo de software e implementación de nuevas funcionalidades en el Espacio Virtual de Asesoría - EVA, sus micrositios y la Red de Servidores Públicos, su mantenimiento y mejora, así como realizar la migración de EVA a la plataforma Liferay DXP.</t>
  </si>
  <si>
    <t>Ocho (8) mensualidades vencidas, cada una por valor de SEIS MILLONES QUINIENTOS DIEZ MIL PESOS ($6’510.000) M/CTE.</t>
  </si>
  <si>
    <t>052-2018</t>
  </si>
  <si>
    <t>JAVIER LEÓN RICARDO SANCHEZ LIZARAZO</t>
  </si>
  <si>
    <t>Prestar servicios profesionales en la Oficina de Tecnologias de la Información y las Comunicaciones de Función Pública, para apoyar realizar el diseño web del espacio virtual se asesoría - EVA, los micrositios y la red virtual de servidores públicos de Función Pública, aso como el soporte técnico, sostenibilidad y migración a la plataforma Liferay DXP del Espacio Virtual de Asesoria (EVA) e instalar, implmentar y configurar los cursos virtuales sobre el sistema moodle.</t>
  </si>
  <si>
    <t>125-2018</t>
  </si>
  <si>
    <t>WILLIAM JAVIER PINTO SOLER</t>
  </si>
  <si>
    <t>Prestar servicios profesionales en la Oficina Asesora de Comunicaciones, para apoyar el mantenimiento y programación de los contenidos del sitio web de la Entidad y la producción de las piezas audiovisuales, en el marco de la Estrategia de Comunicaciones de Función Pública.</t>
  </si>
  <si>
    <t>Ocho (8) mensualidades vencidas, cada una por valor de SEIS MILLONES DE PESOS ($6´000.000) M/CTE.</t>
  </si>
  <si>
    <t>099-2018</t>
  </si>
  <si>
    <t>NOHORA SUSANA BONILLA GUZMAN</t>
  </si>
  <si>
    <t>Prestar servicios profesionales en la Oficina Asesora de Comunicaciones, para apoyar el diseño y diagramación de documentos y publicaciones técnicas generadas por la entidad, en el marco de la Estrategia de Comunicaciones de Función Pública.</t>
  </si>
  <si>
    <t>Ocho (8) mensualidades vencidas, cada una por valor de CUATRO MILLONES SETECIENTOS MIL PESOS ($4´700.000) M/CTE.</t>
  </si>
  <si>
    <t>063-2018</t>
  </si>
  <si>
    <t>DANIEL ASDRUBAL ROMERO GONZÁLEZ</t>
  </si>
  <si>
    <t>Prestar servicios profesionales en Función Pública para articular la operación y funcionamiento del Espacio Virtual de Asesoría (EVA), así como la definición y desarrollo de contenidos institucionales para su publicación en la intranet o en el portal web de la Entidad.</t>
  </si>
  <si>
    <t>Ocho (8) mensualidades vencidas, cada una por valor de NUEVE MILLONES DOCIENTOS OCHENTA Y DOS MIL PESOS ($9.282.000) M/CTE.</t>
  </si>
  <si>
    <t xml:space="preserve">NATALIA ASTRID CARDONA RAMIREZ </t>
  </si>
  <si>
    <t>102-2018</t>
  </si>
  <si>
    <t>JORGE MARIO SIMANCAS CARDONA</t>
  </si>
  <si>
    <t xml:space="preserve">Prestar servicios profesionales en el Grupo de Servicio al Ciudadano Institucional de Función Pública para apoyar jurídicamente el fortalecimiento del primer nivel de servicio en materia de atención a peticiones, quejas, reclamos y sugerencias. </t>
  </si>
  <si>
    <t>Ocho (8) mensualidades vencidas, cada una por valor de CINCO MILLONES DOSCIENTOS TREINTA Y UN MIL PESOS ($5.231.000) M/CTE</t>
  </si>
  <si>
    <t>066-2018</t>
  </si>
  <si>
    <t xml:space="preserve">Ocho (8) mensualidades vencidas, cada una por valor de CINCO MILLONES DOSCIENTOS TREINTA Y UN MIL PESOS ($5.231.000) M/CTE </t>
  </si>
  <si>
    <t>080-2018</t>
  </si>
  <si>
    <t>JUAN PABLO ROJAS MESA</t>
  </si>
  <si>
    <t>Prestar servicios profesionales en el Grupo de Servicio al Ciudadano Institucional de Función Pública para apoyar la atención a los grupos de valor en el primer nivel de servicio de la Entidad.</t>
  </si>
  <si>
    <t>Ocho (8) mensualidades vencidas, cada una por valor de TRES MILLONES OCHOCIENTOS NOVENTA Y CINCO MIL PESOS ($3.895.000) M/CTE</t>
  </si>
  <si>
    <t>078-2018</t>
  </si>
  <si>
    <t>YENNY STELLA CHACÓN SANTAMARIA</t>
  </si>
  <si>
    <t>096-2018</t>
  </si>
  <si>
    <t>BEATRIZ HELENA HERNADEZ VARGAS</t>
  </si>
  <si>
    <t>123-2018</t>
  </si>
  <si>
    <t>DANIEL JOSE ORTIZ RIVERA</t>
  </si>
  <si>
    <t>Prestar servicios profesionales en el Grupo de Gestión Humana de Función Pública, para apoyar la implementación de un proceso de cambio de la cultura organizacional, basado en la apropación del Código de Integridad para los servidores públicos.</t>
  </si>
  <si>
    <t>Ocho (8) mensualidades vencidas, cada una por valor de CINCO MILLONES DE PESOS ($5.000.000) M/CTE</t>
  </si>
  <si>
    <t>LUZ MARY RIAÑO CAMARGO</t>
  </si>
  <si>
    <t>083-2018</t>
  </si>
  <si>
    <t>Prestar servicios profesionales en la Oficina de Control Interno de Función Pública, para apoyar la ejecución del plan de auditorías internas y seguimientos a la gestión institucional programados para la vigencia 2018.</t>
  </si>
  <si>
    <t>Ocho (8) mensualidades vencidas, cada una por valor de CINCO MILLONES DOSCIENTOS TREINTA Y UN MIL PESOS ($5’231.000) M/CTE.</t>
  </si>
  <si>
    <t>LUZ STELLA PATIÑO JURADO</t>
  </si>
  <si>
    <t>OFICINA DE CONTROL INTERNO</t>
  </si>
  <si>
    <t>082-2018</t>
  </si>
  <si>
    <t>EDUARDO PRADA VELASQUEZ</t>
  </si>
  <si>
    <t>Prestar servicios profesionales en la Dirección de Empleo Público de Función Pública para apoyar las actividades conducentes a la implementación de las competencias laborales, así como en la elaboración de la propuesta de creación y funcionamiento del Sistema Nacional de Cualificaciones en el marco de la Comisión Intersectorial para la Gestión del Recurso Humano (CIGERH).</t>
  </si>
  <si>
    <t>Seis (6) mensualidades vencidas, cada una por valor de SEIS MILLONES QUINIENTOS MIL PESOS ($6’500.000) M/CTE.</t>
  </si>
  <si>
    <t>Seis (6) meses, contados a partir del perfeccionamiento del mismo y registro presupuestal.</t>
  </si>
  <si>
    <t xml:space="preserve">JIMMY ALEJANDRO ESCOBAR CASTRO </t>
  </si>
  <si>
    <t>084-2018</t>
  </si>
  <si>
    <t>RAFAEL ANTONIO GARCIA RODRIGUEZ</t>
  </si>
  <si>
    <t>Prestar servicios profesionales en la Subdirección de Función Pública, para apoyar el fortalecimiento del uso y apropiación del Costumer Relationship Management (CRM) y su implementación en las areas técnicas, misionales y de apoyo de la Entidad.</t>
  </si>
  <si>
    <t>Ocho (8) mensualidades vencidas, cada una por valor de OCHO MILLONES DE PESOS ($8’000.000) M/CTE.</t>
  </si>
  <si>
    <t xml:space="preserve">FERNANDO AUGUSTO MEDINA GUTIERREZ </t>
  </si>
  <si>
    <t>122-2018</t>
  </si>
  <si>
    <t>DORLEY ENRIQUE LEÓN LOPEZ</t>
  </si>
  <si>
    <t>Prestar servicios profesionales en la Dirección de Gestión y Desempeño Institucional de Función Pública para apoyar la revisión, simplificación y actualización de las guías y/o instrumentos de la Política de control interno en el marco del modelo Integrado de Planeación y Gestión y apoyar las actividades del Consejo Asesor del Gobierno Nacional en materia de Control Interno y su Comité Técnico</t>
  </si>
  <si>
    <t>Ocho (8) mensualidades vencidas, cada una por valor de CINCO MILLONES QUINIENTOS MIL PESOS ($5.500.000) M/CTE</t>
  </si>
  <si>
    <t>DOLLY AMAYA CABALLERO</t>
  </si>
  <si>
    <t>120-2018</t>
  </si>
  <si>
    <t>ADRIANA DEL PILAR CIFUENTES BLANCO</t>
  </si>
  <si>
    <t>Prestar servicios profesionales en la Dirección de Gestión y Desempeño Institucional de Función Pública para apoyar la revisión, simplificación y actualización de las guías y/o instrumentos de las políticas de gestión y desempeño en el marco del Modelo Integrado de Planeación y Gestión y apoyar las actividades del consejo para la Gestión y el Desempeño Institucional.</t>
  </si>
  <si>
    <t>130-2018</t>
  </si>
  <si>
    <t>KAREN VANESSA MUÑOZ GULFO</t>
  </si>
  <si>
    <t>Prestar servicios profesionales para apoyar a la Dirección de Gestión y Desempeño Institucional, en la ejecución de las actividades necesarias, para el establecimiento de los criterios diferenciales de las politicas de Gestión y Desempeño y de Control Interno, con los lideres de dichas politicas.</t>
  </si>
  <si>
    <t>Seis (6) mensualidades vencidas, cada una por valor de CINCO MILLONES TRESCIENTOS CINCUENTA MIL PESOS ($5´350.000) M/CTE.</t>
  </si>
  <si>
    <t>Seis (6) meses, contado a partir del perfeccionamiento del mismo y registro presupuestal.</t>
  </si>
  <si>
    <t>DIANA MARIA CALDAS GUALTEROS</t>
  </si>
  <si>
    <t>064-2018</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</si>
  <si>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</si>
  <si>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2018.</t>
  </si>
  <si>
    <t>Ocho (8) mensualidades vencidas, cada una por valor de TRES MILLONES SEISCIENTOS SETENTA Y TRES MIL PESOS ($3.673.000) M/CTE.</t>
  </si>
  <si>
    <t xml:space="preserve">MARÍA DEL PILAR GARCÍA GONZÁLEZ </t>
  </si>
  <si>
    <t>081-2018</t>
  </si>
  <si>
    <t>OSCAR MANUEL RODRIGUEZ NIÑO</t>
  </si>
  <si>
    <t xml:space="preserve">MARÍA DEL PILAR GARCÍA GONZÁLEZ   </t>
  </si>
  <si>
    <t>109-2018</t>
  </si>
  <si>
    <t>CESAR ANDRES MARIN CAMACHO</t>
  </si>
  <si>
    <t>Prestar servicios de apoyo a la gestión en la Dirección de Gestión y Desempeño Institucional de Función Pública, para realizar las actividades necesarias, para el desarrollo de los eventos de asesoría y gestión, que se deriven de la implementación del Modelo Integrado de Planeación y Gestión (MIPG).</t>
  </si>
  <si>
    <t>118-2018</t>
  </si>
  <si>
    <t>NOHORA MARCELA ACOSTA ORJUELA</t>
  </si>
  <si>
    <t>Prestar servicios profesionales en la Dirección de Desarrollo Organizacional de Función Pública, para apoyar la revisión de la Interacción institucional en los sectores asignados,  teniendo en cuenta los parametros definidos por la Entidad.</t>
  </si>
  <si>
    <t>Cinco (5) mensualidades vencidas, cada una por valor de DOCE MILLONES TRESCIENTOS SESENTA MIL PESOS ($12.360.000) M/CTE</t>
  </si>
  <si>
    <t xml:space="preserve">ALEJANDRO BECKER ROJAS </t>
  </si>
  <si>
    <t>114-2018</t>
  </si>
  <si>
    <t>NORA ELIZABETH ZAMORA SANTACRUZ</t>
  </si>
  <si>
    <t>115-2018</t>
  </si>
  <si>
    <t>CAROLINA SANCHEZ BOHORQUEZ</t>
  </si>
  <si>
    <t>116-2018</t>
  </si>
  <si>
    <t>CLAUDIA PATRICIA HERNANDEZ DIAZ</t>
  </si>
  <si>
    <t>067-2018</t>
  </si>
  <si>
    <t>DIANA ELIZABETH SALINAS GUTIERREZ</t>
  </si>
  <si>
    <t>Prestar servicios profesionales en la Direccion Juridica  de Función Pública para apoya la estructuración, publicación, depuración y/o actalización de los contenidos del Gestor Normativo de la Entidad.</t>
  </si>
  <si>
    <t>Ocho (8) mensualidades vencidas, cada una por valor de CUATRO MILLONES CUATROCIENTOS CINCUENTA Y DOS MIL PESOS ($4’452.000) M/CTE.</t>
  </si>
  <si>
    <t>LUIS FERNANDO NUÑEZ RINCÓN</t>
  </si>
  <si>
    <t>108-2018</t>
  </si>
  <si>
    <t>JORGE ANDRES ROJAS URREA</t>
  </si>
  <si>
    <t>Prestar servicios profesionales en la Dirección Juridica de Función Pública para apoyar la estructuración, publicación, depuración y/o actualización de los contenidos del Gestor Normativo de la Entidad.</t>
  </si>
  <si>
    <t>Ocho (8) mensualidades vencidas, cada una por valor de CUATRO MILLONES CUATROCIENTOS CINCUENTA Y DOS MIL PESOS ($4.452.000) M/CTE</t>
  </si>
  <si>
    <t>112-2018</t>
  </si>
  <si>
    <t>SANDRA LUCIA BARRIGA MORENO</t>
  </si>
  <si>
    <t>139-2018</t>
  </si>
  <si>
    <t>Prestar servicios profesionales en la Dirección Jurídica de Función Pública para apoyar la proyección y producción de conceptos en materia de inhabilidades e incompatibilidades, conflictos de interés, proyectos de ley que cursan en el Congreso de la República, ley de garantías electorales, ingreso, permanencia y retiro del servicio, estructura del estado y situaciones relacionadas con el desarrollo territorial.</t>
  </si>
  <si>
    <t>Ocho (8) mensualidades vencidas, cada una por valor de SEIS MILLONES DE PESOS ($6.000.000) M/CTE.</t>
  </si>
  <si>
    <t>JOSE FERNANDO CEBALLOS ARROYAVE</t>
  </si>
  <si>
    <t>121-2018</t>
  </si>
  <si>
    <t>DANIEL DE JESUS ESMERAL JARAMILLO</t>
  </si>
  <si>
    <t>Prestar servicios profesionales en la Dirección Juridica de la Función Pública, para apoyar la proyección de conceptos en materia de Derecho Laboral administrativo y situaciones relacionadas con el desempeño territorial.</t>
  </si>
  <si>
    <t>062-2018</t>
  </si>
  <si>
    <t>ARMANDO LOPEZ CORTES</t>
  </si>
  <si>
    <t>Prestar servicios profesionales en la Dirección Jurídica de Función Pública, para apoyar la depuración de contenidos, la revisión de restrictores, el seguimiento al proceso de registro de los documentos en el Gestor Normativo y el planteamiento de ajustes y propuestas de modificación.</t>
  </si>
  <si>
    <t>Cinco (5) mensualidades vencidas, cada una por valor de NUEVE MILLONES CIENTO OCHENTA Y CINCO MIL QUINIENTOS PESOS ($9’185.500) M/CTE</t>
  </si>
  <si>
    <t>093-2018</t>
  </si>
  <si>
    <t>YULY VERONICA RUEDA PEREZ</t>
  </si>
  <si>
    <t>Prestar servicios profesionales en la Dirección de Desarrollo Organizacional de Función Pública, para apoyar las actividades que se generan en el desarrollo de la tercera fase de la Estrategia de Gestión Territorial.</t>
  </si>
  <si>
    <t>Ocho (8) mensualidades vencidas, cada una por valor de CUATRO MILLONES TRESCIENTOS CUARENTA MIL PESOS ($4’340.000) M/CTE</t>
  </si>
  <si>
    <t>128-2018</t>
  </si>
  <si>
    <t>GABRIEL HERNAN MOLANO</t>
  </si>
  <si>
    <t>Prestar servicios profesionales en la Dirección de Desarrollo Organizacional de Función Pública para apoyar el manejo, organización y presentación de la información, de las asesorías técnicas brindadas a las entidades territoriales, en la tercera fase de la Estrategia de Gestión Territorial.</t>
  </si>
  <si>
    <t>Ocho (8) mensualidades vencidas, cada una por valor de CUATRO MILLONES DE PESOS ($4´000.000) M/CTE.</t>
  </si>
  <si>
    <t>106-2018</t>
  </si>
  <si>
    <t>ANGELA PATRICIA CERÓN RAMIREZ</t>
  </si>
  <si>
    <t>Prestar servicios de apoyo a la gestión en la Dirección de Desarrollo Organizacional de Función Pública, para la recolección, organización y control de la información que surja en desarrollo de la Estrategia de Gestión Territorial.</t>
  </si>
  <si>
    <t>Ocho (8) mensualidades vencidas, cada una por valor de DOS MILLONES DE PESOS ($2’000.000) M/CTE.</t>
  </si>
  <si>
    <t>107-2018</t>
  </si>
  <si>
    <t>MAYRA YINETH GALEANO BERGAÑO</t>
  </si>
  <si>
    <t>Prestar servicios profesionales en la Dirección de Desarrollo Organizacional de Función Pública, para apoyar la programación, alistamiento, articulación y segumiento a las comisiones, relacionados con la implementación de la tercera fase de la Estrategia de Gestión Territorial.</t>
  </si>
  <si>
    <t>127-2018</t>
  </si>
  <si>
    <t>CARLOS AUGUSTO GIRALDO BERMUDEZ</t>
  </si>
  <si>
    <t>Prestar servicios profesionales a la Dirección de Desarrollo Organizacional de Función Pública, para facilitar talleres de entrenamiento y ralizar observación a jornadas de asesoría en territorio, para el mejoramiento y fortalecimiento de capacidades y habilidades de los servidores de la entidad.</t>
  </si>
  <si>
    <t>Tres (3) pagos asi: a) Un (1) primer pago a los tres meses de ejecución del contrato,  por valor de CATORCE MILLONES DE PESOS ($14´000.000) M/CTE. b) Un segundo (2) pago a los seis (6) meses de ejecución del contrato,  por valor de CATORCE MILLONES DE PESOS ($14´000.000) M/CTE. c) Un tercer y último pago, por valor de CATORCE MILLONES DE PESOS ($14´000.000) M/CTE.</t>
  </si>
  <si>
    <t>Siete (7) meses, contado a partir del perfeccionamiento del mismo y registro presupuestal.</t>
  </si>
  <si>
    <t>085-2018</t>
  </si>
  <si>
    <t>LINA MARIA PADILLA SAIBIS</t>
  </si>
  <si>
    <t xml:space="preserve">Prestar servicios profesionales a la Dirección de Desarrollo Organizacional, para apoyar la implementación de la Estrategia de Gestión Territorial, en departamentos de difícil acceso y condiciones geográficas complejas. </t>
  </si>
  <si>
    <t>Ocho mensualidades vencidas, cada una por valor de DIEZ MILLONES DE PESOS ($10’000.000) M/CTE.</t>
  </si>
  <si>
    <t>086-2018</t>
  </si>
  <si>
    <t>HAROLD EDUARDO BENAVIDES OSEJO</t>
  </si>
  <si>
    <t>Prestar servicios profesionales a la Dirección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</si>
  <si>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</si>
  <si>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075-2018</t>
  </si>
  <si>
    <t>ANA RAQUEL RODRIGUEZ RUIZ</t>
  </si>
  <si>
    <t>091-2018</t>
  </si>
  <si>
    <t>ORANGEL DE JESUS NORIEGA</t>
  </si>
  <si>
    <t>126-2018</t>
  </si>
  <si>
    <t>EDGAR ALBERTO SIMBAQUEBA MORENO</t>
  </si>
  <si>
    <t>ocho (8) mensualidades vencidas, cada una por valor de NUEVE MILLONES DE PESOS ($9.000.000) M/CTE.</t>
  </si>
  <si>
    <t>089-2018</t>
  </si>
  <si>
    <t>RICARDO ANDRES MOLINA SUAREZ</t>
  </si>
  <si>
    <t>135-2018</t>
  </si>
  <si>
    <t>RODOLFO RENGIFO VALENCIA</t>
  </si>
  <si>
    <t>Prestar servicios profesionales a la Direccion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</si>
  <si>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</si>
  <si>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117-2018</t>
  </si>
  <si>
    <t>JENNIFER ALEJANDRA MOGOLLON BERNAL</t>
  </si>
  <si>
    <t>Prestar servicios profesionales en la Dirección de Desarrollo Organizacional de Función Pública, para apoyar la revisión  del resultado de las reformas organizacionales adelantadas en el Estado colombiano  durante el periodo 2010-2018 en todos los sectores de la Rama Ejecutiva.</t>
  </si>
  <si>
    <t>092-2018</t>
  </si>
  <si>
    <t>RICARDO ANTONIO FUENTES ESMERAL</t>
  </si>
  <si>
    <t>Prestar servicios profesionales a la Dirección de Desarrollo Organizacional de Función Pública, para apoyar la implementación de la Estrategia de Gestión Territorial, a través de la ejecución de los Planes de Acción Técnicos (PAT), en las entidades territoriales asignadas.</t>
  </si>
  <si>
    <t>113-2018</t>
  </si>
  <si>
    <t>LUZ STELLA CANTOR CARVAJAL</t>
  </si>
  <si>
    <t>097-2018</t>
  </si>
  <si>
    <t>DIANA PATRICIA GUERRERO VALENCIA</t>
  </si>
  <si>
    <t>095-2018</t>
  </si>
  <si>
    <t>SUSY JEHIMY HERNANDEZ PIRACHICAN</t>
  </si>
  <si>
    <t>Prestar servicios profesionales en la Dirección de Desarrollo Organizacional de Función Pública, para apoyar la implementación de los Planes de Acción Técnicos (PAT) en el marco de la tercera fase de la Estrategia de Gestión Territorial.</t>
  </si>
  <si>
    <t>059-2018</t>
  </si>
  <si>
    <t>JULIO CÉSAR OVALLE VARGAS</t>
  </si>
  <si>
    <t>Prestar servicios profesionales a Función Pública para apoyar la implementación del Modelo Integrado de Planeación y Gestión (MIPG) en las entidades del orden territorial que le sean asignadas, en desarrollo de la tercera fase de la Estrategia de Gestión Territorial.</t>
  </si>
  <si>
    <t>Siete (7) mensualidades vencidas, cada una por valor de OCHO MILLONES QUINIENTOS MIL PESOS ($8’500.000) M/CTE.</t>
  </si>
  <si>
    <t>Siete (07) meses, contado a partir del perfeccionamiento del mismo y registro presupuestal.</t>
  </si>
  <si>
    <t>073-2018</t>
  </si>
  <si>
    <t>TRINA MARCELA BOCANEGRA MONTALVO</t>
  </si>
  <si>
    <t>056-2018</t>
  </si>
  <si>
    <t>ANGELA MARÍA CASTILLO LOZADA</t>
  </si>
  <si>
    <t>138-2018</t>
  </si>
  <si>
    <t>PAOLA LILIANA QUIJANO BARÓN</t>
  </si>
  <si>
    <t xml:space="preserve">Prestar servicios profesionales a Función Pública para apoyar la implementación del Modelo Integrado de Planeación y Gestión (MIPG) en las entidades del orden territorial que le sean asignadas, en desarrollo de la tercera fase de la Estrategia de Gestión </t>
  </si>
  <si>
    <t>Siete (7) mensualidades vencidas, cada una por valor de OCHO MILLONES QUINIENTOS MIL PESOS ($8.500.000) M/CTE.</t>
  </si>
  <si>
    <t>068-2018</t>
  </si>
  <si>
    <t>PAULA CAROLINA VILLAMIZAR</t>
  </si>
  <si>
    <t>061-2018</t>
  </si>
  <si>
    <t>ANDREA PAOLA PRIETO MOSQUERA</t>
  </si>
  <si>
    <t>060-2018</t>
  </si>
  <si>
    <t>IVONNE PATRICIA BERNAL LOPEZ</t>
  </si>
  <si>
    <t>054-2018</t>
  </si>
  <si>
    <t>CATALINA CARDONA OSORIO</t>
  </si>
  <si>
    <t>058-2018</t>
  </si>
  <si>
    <t>HECTOR ARMANDO BARÓN RODRIGUEZ</t>
  </si>
  <si>
    <t>070-2018</t>
  </si>
  <si>
    <t>GIOVANNA CONSUELO PARDO BERNAL</t>
  </si>
  <si>
    <t>074-2018</t>
  </si>
  <si>
    <t>RODRIGO DAVID NOGUERA FAJARDO</t>
  </si>
  <si>
    <t>072-2018</t>
  </si>
  <si>
    <t>YOVANNA ALEXANDRA CADAVID HERRERA</t>
  </si>
  <si>
    <t>071-2018</t>
  </si>
  <si>
    <t>EDIT YOHANA PALACIO ESPINOSA</t>
  </si>
  <si>
    <t>069-2018</t>
  </si>
  <si>
    <t>GLADYS RAMIREZ PEÑA</t>
  </si>
  <si>
    <t>057-2018</t>
  </si>
  <si>
    <t>MAURICIO ENRIQUE RAMIREZ ALVAREZ</t>
  </si>
  <si>
    <t>101-2018</t>
  </si>
  <si>
    <t>ALICIA BUSTACARA ROMERO</t>
  </si>
  <si>
    <t>055-2018</t>
  </si>
  <si>
    <t xml:space="preserve">IVAN CARLOS RAFAEL BOBADILLA DAZA                         </t>
  </si>
  <si>
    <t>094-2018</t>
  </si>
  <si>
    <t>ESTHER SOFIA HENAO LOPEZ</t>
  </si>
  <si>
    <t>Prestar servicios profesionales a Función Pública para apoyar en la articulación y gestión de las actividades requeridas, en la implementación del Modelo Integrado de Planeación y Gestión (MIPG), en las entidades públicas del orden territorial, en desarrollo de la tercera fase de la Estrategia de Gestión Territorial.</t>
  </si>
  <si>
    <t>Ocho (8) mensualidades vencidas, cada una por valor de OCHO MILLONES QUINIENTOS MIL PESOS ($8’500.000) M/CTE.</t>
  </si>
  <si>
    <t>142-2018</t>
  </si>
  <si>
    <t>SOCIEDAD HOTELERA TEQUENDAMA S.A.</t>
  </si>
  <si>
    <t>Prestar los servicios de apoyo logistico, en la organización y desarrollo de los eventos requeridos por la Función Pública en la vigencia 2018.</t>
  </si>
  <si>
    <t>Función Pública desembolsara el valor total asi, a) Un primer (1) desembolso por valor de CIENTO CINCUENTA MILLONES DE PESOS ($150.000.000) M/CTE, b) Un segundo (2) desembolso por valor de CIENTO CINCUENTA MILLONES DE PESOS ($150.000.000) M/CTE, y c) Un tercer (3) y ultimo desembolso por valor de DOSCIENTOS MILLONES DE PESOS ($200.000.000) M/CTE.</t>
  </si>
  <si>
    <t>NATALIA CARRILLO MOLINA</t>
  </si>
  <si>
    <t>131-2018</t>
  </si>
  <si>
    <t>Prestar servicios profesionales a Función Pública, para apoyar en la organización de la logistica, realización y ejecución de los eventos que requiera la entidad.</t>
  </si>
  <si>
    <t>Ocho (8) mensualidades vencidas, cada una por valor de CUATRO MILLONES QUINIENTOS MIL PESOS ($4´500.000) M/CTE.</t>
  </si>
  <si>
    <t>134-2018</t>
  </si>
  <si>
    <t>SILVIA LUCIA FORERO CASTAÑEDA</t>
  </si>
  <si>
    <t>Prestar servicios profesionales en la Subdirección de Función Pública, para apoyar en la revisión y consolidación de los resultados de las políticas a cargo de la entidad, así como en la elaboración de los documentos resultantes de las mismas.</t>
  </si>
  <si>
    <t>Ocho (8) mensualidades vencidas, cada una por valor de CINCO MILLONES NOVECIENTOS CINCUENTA Y TRES MIL PESOS ($5’953.000) M/CTE</t>
  </si>
  <si>
    <t>146-2018</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</si>
  <si>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politicas a cargo de esta dependencia.</t>
  </si>
  <si>
    <t>Cinco (5) mensualidades vencidas, cuatro (4) pagos por valor de SIETE MILLONES TRESCIENTOS CINCUENTA MIL PESOS ($7.350.000) M/CTE, y un ultimo pago por valor de TRES MILLONES SEISCIENTOS SETENTA YCINCO MIL PESOS ($3.675.000) M/CTE.</t>
  </si>
  <si>
    <t xml:space="preserve">LINA MARIA MONCALEANO CUELLAR </t>
  </si>
  <si>
    <t>ADICIONAR CONTRATO POR 75.000.000</t>
  </si>
  <si>
    <t>PARA ADICIONAR  3 CONTRATOS DE SISTEMAS POR $270000000</t>
  </si>
  <si>
    <t>Para cubrir en agosto seguro de vehículos $3 MILLONES</t>
  </si>
  <si>
    <t>cubrir gastos de toner´s II semestre $10 millones, rEsto para concursos.</t>
  </si>
  <si>
    <t>$20 millones adicionar contrato de mantenimiento</t>
  </si>
  <si>
    <t>TRASLADO DEFINTIIVO ENTRE RUBROS</t>
  </si>
  <si>
    <t>GRUPO GESTIÓN HUMANA</t>
  </si>
  <si>
    <t>FINANCIERA NECESITA $7,4 MILLONES PARA ADICIONAR CONTRATO NORMAS INTERN.</t>
  </si>
  <si>
    <t>Implementación de la estrategias de Gobierno Digital</t>
  </si>
  <si>
    <t>81112200-81111500-81111800</t>
  </si>
  <si>
    <t>Para cubrir adicion contrato repuestos.  Automotores ADICION CONTRATO $3 MILLONES MAS.</t>
  </si>
  <si>
    <t>Para cubrir servicios de mantenimiento $10 millones</t>
  </si>
  <si>
    <t>9 MESES</t>
  </si>
  <si>
    <t>Suscripción al licenciamiento, servicios de soporte para las licencias del software Liferay DXP, así como entrenamiento y bolsa de horas de soporte especializado conforme lo especificado en la ficha técnica.</t>
  </si>
  <si>
    <t>Contratar la elaboración y aplicación de los concursos públicos de empleo - CNSC</t>
  </si>
  <si>
    <t>CENTRAL DE INVERSIONES S.A.</t>
  </si>
  <si>
    <t>Realizar intermediación comercial para la enajenación de bienes muebles de propiedad del Departamento Administrativo de la Función Pública, por el sistema de subasta electrónica ascendente.</t>
  </si>
  <si>
    <t>CONTRATO INTERADMINISTRATIVO</t>
  </si>
  <si>
    <t>Un (1) año, prorrogable de mutuo acuerdo por periodos iguales, contados a partir de su perfeccionamiento.</t>
  </si>
  <si>
    <t>151-2018</t>
  </si>
  <si>
    <t>SUBATOURS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</si>
  <si>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</si>
  <si>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SUMINISTRO</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</si>
  <si>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</si>
  <si>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</si>
  <si>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147-2018</t>
  </si>
  <si>
    <t>MELANY PAOLA FLOREZ DE LA HOZ</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</si>
  <si>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 la entidad.</t>
  </si>
  <si>
    <t>Cinco (5) mensualidades vencidas, cuatro (4) pagos por valor de TRES MILLONES TREINTA Y TRES MIL PESOS ($3.033.000) M/CTE, y un ultimo pago por valor de UN MILLON QUINIENTOS DIECISEIS MIL QUINIENTOS PESOS ($1.516.500) M/CTE.</t>
  </si>
  <si>
    <t>152-2018</t>
  </si>
  <si>
    <t>TANDEM S.A.S</t>
  </si>
  <si>
    <t>Prestar el servicio de transporte, custodia y almacenamiento externo de los medios magnéticos, que contienen las copias de respaldo de la información de Función Pública, de acuerdo con las especificaciones técnicas establecidas en el presente Documento</t>
  </si>
  <si>
    <t>Cinco (5) pagos bimensuales de acuerdo con los servicios efectivamente prestados y un último pago por el mes restante acorde con los servicios efectivamente prestados, incluido IVA y demás gastos asociados, previa presentación de la factura, y la expedición del certificado de recibido a satisfacción por parte del Supervisor del Contrato, sin que el monto total de los servicios pueda exceder la cuantía total del mismo.</t>
  </si>
  <si>
    <t xml:space="preserve">Hasta el veintiocho (28) de diciembre de 2018, contado a partir del perfeccionamiento del mismo, previo registro presupuestal y aprobación de pólizas. </t>
  </si>
  <si>
    <t xml:space="preserve">ANA YISED CASTRO ORTIZ </t>
  </si>
  <si>
    <t>150-2018</t>
  </si>
  <si>
    <t>LA PREVISORA S.A.</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</si>
  <si>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</si>
  <si>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 isor del Contrato, sin que el monto total de los servicios suministrados pueda exceder la cuantía totaldel contrato.</t>
  </si>
  <si>
    <t>Hasta el treinta y uno (31) de diciembre de 2018, de conformidad con lo estipulado por el Acuerdo Marco de Precios de Colombia Compra Eficiente .</t>
  </si>
  <si>
    <t>153-2018</t>
  </si>
  <si>
    <t>UT SOFT-IG</t>
  </si>
  <si>
    <t>Adquirir la suscripcion, configuración, parametrización, soporte técnico y transferencia de conocimientos , del licenciamiento de la herramienta Dynamics CRM (Customer Relationship Management) de Microsoft, según las características señaladas en el anexo técnico.</t>
  </si>
  <si>
    <t>Función Pública pagará el valor del contrato de la siguiente forma: a) Un primer pago, equivalente al valor de la renovación del licenciamiento, de la herramienta Dynamics CRM (Customer Re/ationship Management) de Microsoft, el cual se cancelará a la entrega del mismo, y b) El saldo correspondiente al valor de los servicios de configuración, parametrización, soporte técnico y transferencia de conocimientos, del licenciamiento de la herramienta Dynamics  CRM  (Customer  Relationship Management) de Microsoft, de manera proporcional en mensualidades vencidas acorde con los servicios recibidos, respecto de las horas efectivamente utilizadas en cada mes.</t>
  </si>
  <si>
    <t>Un (1) año, contado  a  partir  del perfeccionamiento del mismo y registro presupuesta!.</t>
  </si>
  <si>
    <t>CDP</t>
  </si>
  <si>
    <t>VALOR NETO DEL CONTRATO VIGENCIA 2018</t>
  </si>
  <si>
    <t>LINEA PAA</t>
  </si>
  <si>
    <t>CONTAR</t>
  </si>
  <si>
    <t>NUMERO</t>
  </si>
  <si>
    <t>GENERO</t>
  </si>
  <si>
    <t xml:space="preserve">MODALIDAD DE CONTRATACION </t>
  </si>
  <si>
    <t>VALOR MENSUAL</t>
  </si>
  <si>
    <t>VALOR INICIAL</t>
  </si>
  <si>
    <t>ADICION / REDUCCION</t>
  </si>
  <si>
    <t>VALOR TOTAL DEL CTO</t>
  </si>
  <si>
    <t>CERTIFICADO DE DISPONIBILIDAD PRESUPUESTAL</t>
  </si>
  <si>
    <t>RECURSO</t>
  </si>
  <si>
    <t>No. DÍAS</t>
  </si>
  <si>
    <t>PRORROGA</t>
  </si>
  <si>
    <t>FECHA TOTAL DE TERMINACION</t>
  </si>
  <si>
    <t>HISTORIAL DE SUPERVISIONES</t>
  </si>
  <si>
    <t>TERMINACION ANTICIPADADA</t>
  </si>
  <si>
    <t>SUSPENSIONES</t>
  </si>
  <si>
    <t>CESIONES</t>
  </si>
  <si>
    <t>% EJECUTADO</t>
  </si>
  <si>
    <t>C.C.</t>
  </si>
  <si>
    <t>MUJER</t>
  </si>
  <si>
    <t xml:space="preserve">(5) $ 5.000.000                        </t>
  </si>
  <si>
    <t>1918  2018 04 Enero 2018</t>
  </si>
  <si>
    <t>IMPLEMENTACIÓN Y FORTALECIMIENTO DE LAS POLITICAS LIDERADAS POR FUNCION PUBLICA A NIVEL NACIONAL</t>
  </si>
  <si>
    <t>2118 2018 05 Enero 2018</t>
  </si>
  <si>
    <t>2018  2018 04 Enero 2018</t>
  </si>
  <si>
    <t>2218-2018 05 Enero 2018</t>
  </si>
  <si>
    <t>,</t>
  </si>
  <si>
    <t xml:space="preserve">(5) $ 4.240.000                        </t>
  </si>
  <si>
    <t>6618  2018 04 Enero 2018</t>
  </si>
  <si>
    <t>2318-2018 05 Enero 2018</t>
  </si>
  <si>
    <t>HOMBRE</t>
  </si>
  <si>
    <t xml:space="preserve">(5) $ 8.300.000                        </t>
  </si>
  <si>
    <t>3418  2018 04 Enero 2018</t>
  </si>
  <si>
    <t>2418-2018 05 Enero 2018</t>
  </si>
  <si>
    <t xml:space="preserve">(5) $ 6.000.000                        </t>
  </si>
  <si>
    <t>3618  2018 04 Enero 2018</t>
  </si>
  <si>
    <t>DESARROLLO Y FORTALECIMIENTO DE CAPACIDADES DE LAS ENTIDADES TERRITORIALES DE LA CIRCUNSCRIPCIÓN NACIONAL</t>
  </si>
  <si>
    <t>4218-2018 10 Enero 2018</t>
  </si>
  <si>
    <t xml:space="preserve">(5) $ 5.231.000                        </t>
  </si>
  <si>
    <t>3918  2018 04 Enero 2018</t>
  </si>
  <si>
    <t>4318-2018 10 Enero 2018</t>
  </si>
  <si>
    <t xml:space="preserve">(5) $ 3.895.000                        </t>
  </si>
  <si>
    <t>2418  2018 04 Enero 2018</t>
  </si>
  <si>
    <t>3518-2018 09 Enero 2018</t>
  </si>
  <si>
    <t xml:space="preserve">SANTIAGO ARANGO CORRALES </t>
  </si>
  <si>
    <t>CLAUDIA ANDREA CELY RUIZ                  CEDIDO A                                                       MELANY PAOLA FLOREZ DE LA HOZ</t>
  </si>
  <si>
    <t xml:space="preserve">(5) $ 3.033.000                        </t>
  </si>
  <si>
    <t>3518  2018 04 Enero 2018</t>
  </si>
  <si>
    <t>4418-2018 10 Enero 2018</t>
  </si>
  <si>
    <t>TERMINACIÓN ANTICIPADA 26 DE ENERO DE 2018</t>
  </si>
  <si>
    <t xml:space="preserve">(6) $ 5.386.700                        </t>
  </si>
  <si>
    <t>4518  2018 04 Enero 2018</t>
  </si>
  <si>
    <t>PRESUPUESTO DE FUNCIONAMIENTO</t>
  </si>
  <si>
    <t>3718-2018 09 Enero 2018</t>
  </si>
  <si>
    <t xml:space="preserve">(5) $ 4.340.000                        </t>
  </si>
  <si>
    <t>3018  2018 04 Enero 2018</t>
  </si>
  <si>
    <t>3818-2018 09 Enero 2018</t>
  </si>
  <si>
    <t xml:space="preserve">EDINSON GABRIEL MALAGÓN MAYORGA </t>
  </si>
  <si>
    <t xml:space="preserve">(5) $ 8.500.000                        </t>
  </si>
  <si>
    <t>3218  2018 04 Enero 2018</t>
  </si>
  <si>
    <t>3318-2018 09 Enero 2018</t>
  </si>
  <si>
    <t>TERMINACIÓN ANTICIPADA 25 DE ENERO DE 2018</t>
  </si>
  <si>
    <t>FINALIZADO</t>
  </si>
  <si>
    <t xml:space="preserve">(5) $ 5.700.000                        </t>
  </si>
  <si>
    <t>3818  2018 04 Enero 2018</t>
  </si>
  <si>
    <t>8218-2018 16 Enero 2018</t>
  </si>
  <si>
    <t xml:space="preserve">(5) $ 11.290.000                        </t>
  </si>
  <si>
    <t>4618  2018 04 Enero 2018</t>
  </si>
  <si>
    <t>2518-2018 09 Enero 2018</t>
  </si>
  <si>
    <t xml:space="preserve">(5) $ 11.000.000                        </t>
  </si>
  <si>
    <t>2718  2018 04 Enero 2018</t>
  </si>
  <si>
    <t>5318-2018 11 Enero 2018</t>
  </si>
  <si>
    <t>5718  2018 04 Enero 2018</t>
  </si>
  <si>
    <t>4018-2018 09 Enero 2018</t>
  </si>
  <si>
    <t xml:space="preserve">(5) $ 7.000.000                        </t>
  </si>
  <si>
    <t>6818  2018 04 Enero 2018</t>
  </si>
  <si>
    <t>6818-2018 15 Enero 2018</t>
  </si>
  <si>
    <t xml:space="preserve">(5) $ 6.510.000                        </t>
  </si>
  <si>
    <t>6918  2018 04 Enero 2018</t>
  </si>
  <si>
    <t>2618-2018 09 Enero 2018</t>
  </si>
  <si>
    <t xml:space="preserve">(5) $ 5.008.000                        </t>
  </si>
  <si>
    <t>2318  2018 04 Enero 2018</t>
  </si>
  <si>
    <t>4518-2018 10 Enero 2018</t>
  </si>
  <si>
    <t xml:space="preserve">(5) $ 3.604.000                        </t>
  </si>
  <si>
    <t>Cinco (5) mensualidades vencidas, cada una por valor de TRES MILLONES SEISCIENTOS CUATRO MIL PESOS ($3.604.000) M/CTE</t>
  </si>
  <si>
    <t>7218  2018 04 Enero 2018</t>
  </si>
  <si>
    <t>4618-2018 10 Enero 2018</t>
  </si>
  <si>
    <t>2818  2018 04 Enero 2018</t>
  </si>
  <si>
    <t>6918-2018 15 Enero 2018</t>
  </si>
  <si>
    <t xml:space="preserve">(5) $ 4.897.000                        </t>
  </si>
  <si>
    <t>5118  2018 04 Enero 2018</t>
  </si>
  <si>
    <t>2718-2018 09 Enero 2018</t>
  </si>
  <si>
    <t>3118  2018 04 Enero 2018</t>
  </si>
  <si>
    <t>6218-2018 12 Enero 2018</t>
  </si>
  <si>
    <t xml:space="preserve">(5) $ 5.512.000                        </t>
  </si>
  <si>
    <t>7318  2018 04 Enero 2018</t>
  </si>
  <si>
    <t>5418-2018 11 Enero 2018</t>
  </si>
  <si>
    <t>3418-2018 09 Enero 2018</t>
  </si>
  <si>
    <t>5218  2018 04 Enero 2018</t>
  </si>
  <si>
    <t>3218-2018 09 Enero 2018</t>
  </si>
  <si>
    <t xml:space="preserve">(5) $ 7.350.000                        </t>
  </si>
  <si>
    <t>5918  2018 04 Enero 2018</t>
  </si>
  <si>
    <t>3018-2018 09 Enero 2018</t>
  </si>
  <si>
    <t xml:space="preserve">(5) $ 8.736.000                        </t>
  </si>
  <si>
    <t>4218  2018 04 Enero 2018</t>
  </si>
  <si>
    <t>5918-2018 12 Enero 2018</t>
  </si>
  <si>
    <t>5518  2018 04 Enero 2018</t>
  </si>
  <si>
    <t>2818-2018 09 Enero 2018</t>
  </si>
  <si>
    <t xml:space="preserve">ELSA YANUBA QUIÑONES </t>
  </si>
  <si>
    <t>4718  2018 04 Enero 2018</t>
  </si>
  <si>
    <t>4718-2018 10 Enero 2018</t>
  </si>
  <si>
    <t xml:space="preserve">(5) $ 9.000.000                        </t>
  </si>
  <si>
    <t>3318  2018 04 Enero 2018</t>
  </si>
  <si>
    <t>2918-2018 09 Enero 2018</t>
  </si>
  <si>
    <t xml:space="preserve">(5) $ 7.166.000                        </t>
  </si>
  <si>
    <t>4918  2018 04 Enero 2018</t>
  </si>
  <si>
    <t>4818-2018 10 Enero 2018</t>
  </si>
  <si>
    <t>4818  2018 04 Enero 2018</t>
  </si>
  <si>
    <t>7118-2018 15 Enero 2018</t>
  </si>
  <si>
    <t xml:space="preserve">(6) $ 5.000.000                        </t>
  </si>
  <si>
    <t>4418  2018 04 Enero 2018</t>
  </si>
  <si>
    <t>3118-2018 09 Enero 2018</t>
  </si>
  <si>
    <t xml:space="preserve">(5) $ 6.300.000                        </t>
  </si>
  <si>
    <t>4118  2018 04 Enero 2018</t>
  </si>
  <si>
    <t>5518-2018 11 Enero 2018</t>
  </si>
  <si>
    <t>5318  2018 04 Enero 2018</t>
  </si>
  <si>
    <t>5818  2018 04 Enero 2018</t>
  </si>
  <si>
    <t>3918-2018 09 Enero 2018</t>
  </si>
  <si>
    <t>5418  2018 04 Enero 2018</t>
  </si>
  <si>
    <t>5718-2018 11 Enero 2018</t>
  </si>
  <si>
    <t xml:space="preserve">(5) $ 7.753.000                        </t>
  </si>
  <si>
    <t>2518  2018 04 Enero 2018</t>
  </si>
  <si>
    <t>9218-2018 17 Enero 2018</t>
  </si>
  <si>
    <t>7118  2018 04 Enero 2018</t>
  </si>
  <si>
    <t>4918-2018 10 Enero 2018</t>
  </si>
  <si>
    <t xml:space="preserve">(5) $ 4.200.000                        </t>
  </si>
  <si>
    <t>6518  2018 04 Enero 2018</t>
  </si>
  <si>
    <t>6018-2018 12 Enero 2018</t>
  </si>
  <si>
    <t>7018  2018 04 Enero 2018</t>
  </si>
  <si>
    <t>5018-2018 10 Enero 2018</t>
  </si>
  <si>
    <t>3718  2018 04 Enero 2018</t>
  </si>
  <si>
    <t>7018-2018 15 Enero 2018</t>
  </si>
  <si>
    <t xml:space="preserve">(5) $ 3.800.000                        </t>
  </si>
  <si>
    <t>6418  2018 04 Enero 2018</t>
  </si>
  <si>
    <t>8618-2018 16 Enero 2018</t>
  </si>
  <si>
    <t xml:space="preserve">(5) $ 1.909.000                        </t>
  </si>
  <si>
    <t>2118  2018 04 Enero 2018</t>
  </si>
  <si>
    <t>DESARROLLO Y FORTALECIMIENTO DE CAPACIDADES DE LAS ENTIDADES TERRITORIALES DE LA CIRCUNSCRIPCIÓN NACIONAL - IMPLEMENTACIÓN Y FORTALECIMIENTO DE LAS POLITICAS LIDERADAS POR FUNCION PUBLICA A NIVEL NACIONAL</t>
  </si>
  <si>
    <t>5118-2018 10 Enero 2018</t>
  </si>
  <si>
    <t xml:space="preserve">(5) $ 1.685.000                        </t>
  </si>
  <si>
    <t>6018  2018 04 Enero 2018</t>
  </si>
  <si>
    <t>9318-2018 17 Enero 2018</t>
  </si>
  <si>
    <t>RESPECTIVA FACTURA</t>
  </si>
  <si>
    <t>8018 2018 04 Enero 2018</t>
  </si>
  <si>
    <t>3618-2018 09 Enero 2018</t>
  </si>
  <si>
    <t>6218  2018 04 Enero 2018</t>
  </si>
  <si>
    <t>10518-2018 18 Enero 2018</t>
  </si>
  <si>
    <t>7418  2018 04 Enero 2018</t>
  </si>
  <si>
    <t>10618-2018 18 Enero 2018</t>
  </si>
  <si>
    <t xml:space="preserve">(5) $ 4.700.000                        </t>
  </si>
  <si>
    <t>7418-2018 15 Enero 2018</t>
  </si>
  <si>
    <t xml:space="preserve">(5) $ 2.800.000                        </t>
  </si>
  <si>
    <t>5018  2018 04 Enero 2018</t>
  </si>
  <si>
    <t>5818-2018 11 Enero 2018</t>
  </si>
  <si>
    <t xml:space="preserve">(8) $ 6.510.000                        </t>
  </si>
  <si>
    <t>10418  2018 11 Enero 2018</t>
  </si>
  <si>
    <t>8318-2018 16 Enero 2018</t>
  </si>
  <si>
    <t>10518  2018 11 Enero 2018</t>
  </si>
  <si>
    <t>7718-2018 16 Enero 2018</t>
  </si>
  <si>
    <t xml:space="preserve">(8) $ 5.300.000                        </t>
  </si>
  <si>
    <t>10318  2018 11 Enero 2018</t>
  </si>
  <si>
    <t>SSF</t>
  </si>
  <si>
    <t>8418-2018 16 Enero 2018</t>
  </si>
  <si>
    <t xml:space="preserve">(7) $ 8.500.000                        </t>
  </si>
  <si>
    <t>15818  2018 11 Enero 2018</t>
  </si>
  <si>
    <t>13818-2018 22 Enero 2018</t>
  </si>
  <si>
    <t>16718  2018 11 Enero 2018</t>
  </si>
  <si>
    <t>13918-2018 22 Enero 2018</t>
  </si>
  <si>
    <t>15318  2018 11 Enero 2018</t>
  </si>
  <si>
    <t>14018-2018 22 Enero 2018</t>
  </si>
  <si>
    <t>16518  2018 11 Enero 2018</t>
  </si>
  <si>
    <t>14118-2018 22 Enero 2018</t>
  </si>
  <si>
    <t>15918  2018 11 Enero 2018</t>
  </si>
  <si>
    <t>14218-2018 22 Enero 2018</t>
  </si>
  <si>
    <t>15118  2018 11 Enero 2018</t>
  </si>
  <si>
    <t>14318-2018 22 Enero 2018</t>
  </si>
  <si>
    <t>15718  2018 11 Enero 2018</t>
  </si>
  <si>
    <t>14418-2018 22 Enero 2018</t>
  </si>
  <si>
    <t>15618  2018 11 Enero 2018</t>
  </si>
  <si>
    <t>14518-2018 22 Enero 2018</t>
  </si>
  <si>
    <t xml:space="preserve">(5) $ 9.185.500                        </t>
  </si>
  <si>
    <t>13318  2018 11 Enero 2018</t>
  </si>
  <si>
    <t>9618-2018 17 Enero 2018</t>
  </si>
  <si>
    <t xml:space="preserve">(8) $ 9.282.000                        </t>
  </si>
  <si>
    <t>10818  2018 11 Enero 2018</t>
  </si>
  <si>
    <t>7818-2018 16 Enero 2018</t>
  </si>
  <si>
    <t xml:space="preserve">(8) $ 3.673.000                        </t>
  </si>
  <si>
    <t>12118  2018 11 Enero 2018</t>
  </si>
  <si>
    <t>8518-2018 16 Enero 2018</t>
  </si>
  <si>
    <t xml:space="preserve">(8) $ 7.350.000                        </t>
  </si>
  <si>
    <t>10018  2018 11 Enero 2018</t>
  </si>
  <si>
    <t>7918-2018 16 Enero 2018</t>
  </si>
  <si>
    <t xml:space="preserve">(8) $ 5.231.000                        </t>
  </si>
  <si>
    <t>11018  2018 11 Enero 2018</t>
  </si>
  <si>
    <t>8018-2018 16 Enero 2018</t>
  </si>
  <si>
    <t xml:space="preserve">(8) $ 4.452.000                        </t>
  </si>
  <si>
    <t>12818  2018 11 Enero 2018</t>
  </si>
  <si>
    <t>8118-2018 16 Enero 2018</t>
  </si>
  <si>
    <t>15518  2018 11 Enero 2018</t>
  </si>
  <si>
    <t>14618-2018 22 Enero 2018</t>
  </si>
  <si>
    <t>16418  2018 11 Enero 2018</t>
  </si>
  <si>
    <t>14718-2018 22 Enero 2018</t>
  </si>
  <si>
    <t>16018  2018 11 Enero 2018</t>
  </si>
  <si>
    <t>14818-2018 22 Enero 2018</t>
  </si>
  <si>
    <t>16318  2018 11 Enero 2018</t>
  </si>
  <si>
    <t>14918-2018 22 Enero 2018</t>
  </si>
  <si>
    <t>16218  2018 11 Enero 2018</t>
  </si>
  <si>
    <t>15018-2018 22 Enero 2018</t>
  </si>
  <si>
    <t>15218  2018 11 Enero 2018</t>
  </si>
  <si>
    <t>15118-2018 22 Enero 2018</t>
  </si>
  <si>
    <t>16118  2018 11 Enero 2018</t>
  </si>
  <si>
    <t>15218-2018 22 Enero 2018</t>
  </si>
  <si>
    <t xml:space="preserve">(8) $ 9.000.000                        </t>
  </si>
  <si>
    <t>14118  2018 11 Enero 2018</t>
  </si>
  <si>
    <t>15318-2018 22 Enero 2018</t>
  </si>
  <si>
    <t xml:space="preserve">(5) $ 2.000.000                        </t>
  </si>
  <si>
    <t>9318  2018 11 Enero 2018</t>
  </si>
  <si>
    <t>8718-2018 16 Enero 2018</t>
  </si>
  <si>
    <t>4318  2018 04 Enero 2018</t>
  </si>
  <si>
    <t>9518-2018 17 Enero 2018</t>
  </si>
  <si>
    <t xml:space="preserve">(8) $ 3.895.000                        </t>
  </si>
  <si>
    <t>1218  2018 11 Enero 2018</t>
  </si>
  <si>
    <t>8818-2018 16 Enero 2018</t>
  </si>
  <si>
    <t xml:space="preserve">(8) $ 6.000.000                        </t>
  </si>
  <si>
    <t>1018  2018 11 Enero 2018</t>
  </si>
  <si>
    <t>10718-2018 18 Enero 2018</t>
  </si>
  <si>
    <t>11118  2018 11 Enero 2018</t>
  </si>
  <si>
    <t>9718-2018 17 Enero 2018</t>
  </si>
  <si>
    <t>12218  2018 11 Enero 2018</t>
  </si>
  <si>
    <t>9818-2018 17 Enero 2018</t>
  </si>
  <si>
    <t xml:space="preserve">(6) $ 6.500.000                        </t>
  </si>
  <si>
    <t>11618  2018 11 Enero 2018</t>
  </si>
  <si>
    <t>10818-2018 18 Enero 2018</t>
  </si>
  <si>
    <t>11518  2018 11 Enero 2018</t>
  </si>
  <si>
    <t>11218-2018 18 Enero 2018</t>
  </si>
  <si>
    <t xml:space="preserve">(8) $ 8.000.000                        </t>
  </si>
  <si>
    <t>11718  2018 11 Enero 2018</t>
  </si>
  <si>
    <t>9918-2018 17 Enero 2018</t>
  </si>
  <si>
    <t xml:space="preserve">(8) $ 10.000.000                        </t>
  </si>
  <si>
    <t>13918  2018 11 Enero 2018</t>
  </si>
  <si>
    <t>15418-2018 22 Enero 2018</t>
  </si>
  <si>
    <t>14018  2018 11 Enero 2018</t>
  </si>
  <si>
    <t>15518-2018 22 Enero 2018</t>
  </si>
  <si>
    <t>JUAN PABLO CENDALES 
RODRIGUEZ</t>
  </si>
  <si>
    <t xml:space="preserve">(2) $ 7.500.000                        </t>
  </si>
  <si>
    <t>2618  2018 04 Enero 2018</t>
  </si>
  <si>
    <t>10418-2018 17 Enero 2018</t>
  </si>
  <si>
    <t>5618  2018 04 Enero 2018</t>
  </si>
  <si>
    <t>10018-2018 17 Enero 2018</t>
  </si>
  <si>
    <t>14418  2018 11 Enero 2018</t>
  </si>
  <si>
    <t>15618-2018 22 Enero 2018</t>
  </si>
  <si>
    <t>090-2018</t>
  </si>
  <si>
    <r>
      <t xml:space="preserve">HENRY QUIJALA                                 </t>
    </r>
    <r>
      <rPr>
        <b/>
        <sz val="25"/>
        <color rgb="FFFF0000"/>
        <rFont val="Arial"/>
        <family val="2"/>
      </rPr>
      <t>CANCELADO</t>
    </r>
  </si>
  <si>
    <t>14218  2018 11 Enero 2018</t>
  </si>
  <si>
    <t>15718-2018 22 Enero 2018</t>
  </si>
  <si>
    <t>14718  2018 11 Enero 2018</t>
  </si>
  <si>
    <t>15818-2018 22 Enero 2018</t>
  </si>
  <si>
    <t xml:space="preserve">(8) $ 4.340.000                        </t>
  </si>
  <si>
    <t>13418  2018 11 Enero 2018</t>
  </si>
  <si>
    <t>10118-2018 17 Enero 2018</t>
  </si>
  <si>
    <t xml:space="preserve">(8) $ 8.500.000                        </t>
  </si>
  <si>
    <t>16818  2018 11 Enero 2018</t>
  </si>
  <si>
    <t>10218-2018 17 Enero 2018</t>
  </si>
  <si>
    <t>15018  2018 11 Enero 2018</t>
  </si>
  <si>
    <t>10918-2018 18 Enero 2018</t>
  </si>
  <si>
    <t>11318  2018 11 Enero 2018</t>
  </si>
  <si>
    <t>11018-2018 18 Enero 2018</t>
  </si>
  <si>
    <t>14918  2018 11 Enero 2018</t>
  </si>
  <si>
    <t>15918-2018 22 Enero 2018</t>
  </si>
  <si>
    <t xml:space="preserve">(8) $ 1.800.000                        </t>
  </si>
  <si>
    <t>4018  2018 04 Enero 2018</t>
  </si>
  <si>
    <t>11118-2018 18 Enero 2018</t>
  </si>
  <si>
    <t xml:space="preserve">(8) $ 4.700.000                        </t>
  </si>
  <si>
    <t>10718  2018 11 Enero 2018</t>
  </si>
  <si>
    <t>11518-2018 19 Enero 2018</t>
  </si>
  <si>
    <t xml:space="preserve">(3) $ 1.350.000                        </t>
  </si>
  <si>
    <t>17118  2018 12 Enero 2018</t>
  </si>
  <si>
    <t>16018-2018 22 Enero 2018</t>
  </si>
  <si>
    <t>16618  2018 11 Enero 2018</t>
  </si>
  <si>
    <t>16118-2018 22 Enero 2018</t>
  </si>
  <si>
    <t>10918  2018 11 Enero 2018</t>
  </si>
  <si>
    <t>10318-2018 17 Enero 2018</t>
  </si>
  <si>
    <t xml:space="preserve">(3) $ 7.166.000                        </t>
  </si>
  <si>
    <t>9018  2018 11 Enero 2018</t>
  </si>
  <si>
    <t>16218-2018 22 Enero 2018</t>
  </si>
  <si>
    <t xml:space="preserve">(3) $ 5.231.000                        </t>
  </si>
  <si>
    <t>16918  2018 11 Enero 2018</t>
  </si>
  <si>
    <t>16318-2018 22 Enero 2018</t>
  </si>
  <si>
    <t xml:space="preserve">(3) $ 6.394.000                        </t>
  </si>
  <si>
    <t>9118  2018 11 Enero 2018</t>
  </si>
  <si>
    <t>16418-2018 22 Enero 2018</t>
  </si>
  <si>
    <t xml:space="preserve">(8) $ 2.000.000                        </t>
  </si>
  <si>
    <t>13618  2018 11 Enero 2018</t>
  </si>
  <si>
    <t>11418-2018 18 Enero 2018</t>
  </si>
  <si>
    <t xml:space="preserve">(8) $ 5.000.000                        </t>
  </si>
  <si>
    <t>13718  2018 11 Enero 2018</t>
  </si>
  <si>
    <t>11318-2018 18 Enero 2018</t>
  </si>
  <si>
    <t>12918  2018 11 Enero 2018</t>
  </si>
  <si>
    <t>16518-2018 22 Enero 2018</t>
  </si>
  <si>
    <t xml:space="preserve">(8) $ 1.909.000                        </t>
  </si>
  <si>
    <t>12318  2018 11 Enero 2018</t>
  </si>
  <si>
    <t>16618-2018 22 Enero 2018</t>
  </si>
  <si>
    <t>17218  2018 12 Enero 2018</t>
  </si>
  <si>
    <t>11618-2018 19 Enero 2018</t>
  </si>
  <si>
    <t>10218  2018 11 Enero 2018</t>
  </si>
  <si>
    <t>11718-2018 19 Enero 2018</t>
  </si>
  <si>
    <t>13018  2018 11 Enero 2018</t>
  </si>
  <si>
    <t>16718-2018 22 Enero 2018</t>
  </si>
  <si>
    <t>14818  2018 11 Enero 2018</t>
  </si>
  <si>
    <t>13518-2018 19 Enero 2018</t>
  </si>
  <si>
    <t xml:space="preserve">(5) $ 12.360.000                        </t>
  </si>
  <si>
    <t>12518  2018 11 Enero 2018</t>
  </si>
  <si>
    <t>16818-2018 22 Enero 2018</t>
  </si>
  <si>
    <t>12618  2018 11 Enero 2018</t>
  </si>
  <si>
    <t>16918-2018 22 Enero 2018</t>
  </si>
  <si>
    <t>12718  2018 11 Enero 2018</t>
  </si>
  <si>
    <t>17018-2018 22 Enero 2018</t>
  </si>
  <si>
    <t>14618  2018 11 Enero 2018</t>
  </si>
  <si>
    <t>17118-2018 22 Enero 2018</t>
  </si>
  <si>
    <t>12418  2018 11 Enero 2018</t>
  </si>
  <si>
    <t>17218-2018 22 Enero 2018</t>
  </si>
  <si>
    <t>9618  2018 11 Enero 2018</t>
  </si>
  <si>
    <t>13618-2018 19 Enero 2018</t>
  </si>
  <si>
    <t xml:space="preserve">(8) $ 5.500.000                        </t>
  </si>
  <si>
    <t>11918  2018 11 Enero 2018</t>
  </si>
  <si>
    <t>17318-2018 22 Enero 2018</t>
  </si>
  <si>
    <t>13218  2018 11 Enero 2018</t>
  </si>
  <si>
    <t>17418-2018 22 Enero 2018</t>
  </si>
  <si>
    <t>11818  2018 11 Enero 2018</t>
  </si>
  <si>
    <t>17518-2018 22 Enero 2018</t>
  </si>
  <si>
    <t>11418  2018 11 Enero 2018</t>
  </si>
  <si>
    <t>17718-2018 23 Enero 2018</t>
  </si>
  <si>
    <t xml:space="preserve">(5) $ 2.584.000                        </t>
  </si>
  <si>
    <t>6118  2018 04 Enero 2018</t>
  </si>
  <si>
    <t>17618-2018 22 Enero 2018</t>
  </si>
  <si>
    <t>10618  2018 11 Enero 2018</t>
  </si>
  <si>
    <t>19118-2018 26 Enero 2018</t>
  </si>
  <si>
    <t>14318  2018 11 Enero 2018</t>
  </si>
  <si>
    <t>18018-2018 24 Enero 2018</t>
  </si>
  <si>
    <t xml:space="preserve">(7) $ 6.000.000                        </t>
  </si>
  <si>
    <t>13818  2018 11 Enero 2018</t>
  </si>
  <si>
    <t>18818-2018 25 Enero 2018</t>
  </si>
  <si>
    <t xml:space="preserve">(8) $ 4.000.000                        </t>
  </si>
  <si>
    <t>13518  2018 11 Enero 2018</t>
  </si>
  <si>
    <t>18118-2018 24 Enero 2018</t>
  </si>
  <si>
    <t>9718  2018 11 Enero 2018</t>
  </si>
  <si>
    <t>18318-2018 25 Enero 2018</t>
  </si>
  <si>
    <t xml:space="preserve">(6) $ 5.350.000                        </t>
  </si>
  <si>
    <t>12018  2018 11 Enero 2018</t>
  </si>
  <si>
    <t>18418-2018 25 Enero 2018</t>
  </si>
  <si>
    <t xml:space="preserve">(8) $ 4.500.000                        </t>
  </si>
  <si>
    <t>18218  2018 22 Enero 2018</t>
  </si>
  <si>
    <t>19218-2018 26 Enero 2018</t>
  </si>
  <si>
    <t xml:space="preserve">(3) $ 15.000.000                        </t>
  </si>
  <si>
    <t>9918  2018 11 Enero 2018</t>
  </si>
  <si>
    <t>18518-2018 25 Enero 2018</t>
  </si>
  <si>
    <t>9418  2018 11 Enero 2018</t>
  </si>
  <si>
    <t>18218-2018 24 Enero 2018</t>
  </si>
  <si>
    <t xml:space="preserve">(8) $ 5.953.000                        </t>
  </si>
  <si>
    <t>17918  2018 19 Enero 2018</t>
  </si>
  <si>
    <t>19318-2018 26 Enero 2018</t>
  </si>
  <si>
    <t>14418  2018 19 Enero 2018</t>
  </si>
  <si>
    <t>19518-2018 26 Enero 2018</t>
  </si>
  <si>
    <t xml:space="preserve">(5) $ 9.500.000                        </t>
  </si>
  <si>
    <t>2918  2018 04 Enero 2018</t>
  </si>
  <si>
    <t>18918-2018 25 Enero 2018</t>
  </si>
  <si>
    <t>137-2018</t>
  </si>
  <si>
    <t xml:space="preserve">DEFENSORÍA DEL PUEBLO </t>
  </si>
  <si>
    <t>NIT</t>
  </si>
  <si>
    <t>800186061-1</t>
  </si>
  <si>
    <t>NO APLICA</t>
  </si>
  <si>
    <t xml:space="preserve">Aunar esfuerzos entre el DEPARTAMENTO ADMINISTRATIVO DE LA FUNCIÓN PÚBLICA y LA DEFENSORÍA DEL PUEBLO, para apoyar la elaboración de las pruebas de conocimiento y la aplicación de las pruebas comportamentales, con el fin de conformar y actualizar el Registro Nacional de Aspirantes de Defensoría Pública. </t>
  </si>
  <si>
    <t>CONVENIO</t>
  </si>
  <si>
    <t>CONVENIO INTERADMINISTRATIVO DE COOPERACIÓN</t>
  </si>
  <si>
    <t xml:space="preserve">El presente Convenio Interadministrativo de Cooperación, tendrá una duración de dos (2) años, contados a partir de la suscripción del mismo por las partes. </t>
  </si>
  <si>
    <t>FRANCISCO AMEZQUITA</t>
  </si>
  <si>
    <t>15418  2018 11 Enero 2018</t>
  </si>
  <si>
    <t>19618-2018 26 Enero 2018</t>
  </si>
  <si>
    <t>13118  2018 11 Enero 2018</t>
  </si>
  <si>
    <t>19818-2018 26 Enero 2018</t>
  </si>
  <si>
    <t>18018  2018 19 Enero 2018</t>
  </si>
  <si>
    <t>Un (1) pago</t>
  </si>
  <si>
    <t>17718  2018 19 Enero 2018</t>
  </si>
  <si>
    <t>20118-2018 26 Enero 2018</t>
  </si>
  <si>
    <t xml:space="preserve">(1er. Pago) $ 150.000.000                     (2do. Pago) $ 150.000.000            (3er.. Pago) $ 200.000.000                         </t>
  </si>
  <si>
    <t>18118  2018 22 Enero 2018</t>
  </si>
  <si>
    <t>19018-2018 26 Enero 2018</t>
  </si>
  <si>
    <t>CONFIANZA</t>
  </si>
  <si>
    <t>830078154-2</t>
  </si>
  <si>
    <t>17418  2018 15 Enero 2018</t>
  </si>
  <si>
    <t>20018-2018 26 Enero 2018</t>
  </si>
  <si>
    <t>SEGUROS DEL ESTADO</t>
  </si>
  <si>
    <t xml:space="preserve">(5) $ 5.953.000                        </t>
  </si>
  <si>
    <t>19918-2018 26 Enero 2018</t>
  </si>
  <si>
    <t xml:space="preserve">EDINSON GABRIEL MALAGÓN MAYORGA  </t>
  </si>
  <si>
    <t>8118  2018 04 Enero 2018</t>
  </si>
  <si>
    <t>19418-2018 26 Enero 2018</t>
  </si>
  <si>
    <t xml:space="preserve">(4) $ 7.350.000                     (1) $ 3.675.000                       </t>
  </si>
  <si>
    <t>18618  2018 25 Enero 2018</t>
  </si>
  <si>
    <t>20218-2018 26 Enero 2018</t>
  </si>
  <si>
    <t xml:space="preserve">(4) $ 3.033.000                        (1) $ 1.516.500                       </t>
  </si>
  <si>
    <t>18818  2018 25 Enero 2018</t>
  </si>
  <si>
    <t>20318-2018 26 Enero 2018</t>
  </si>
  <si>
    <t>148-2018</t>
  </si>
  <si>
    <t>UNIVERSIDAD NACIONAL DE COLOMBIA</t>
  </si>
  <si>
    <t>899999063-3</t>
  </si>
  <si>
    <t>Establecer las bases de cooperación entre la Función Pública y la FACULTAD DE CIENCIAS HUMANAS DE LA UNIVERSIDAD NACIONAL DE COLOMBIA – SEDE BOGOTÁ, para realizar las pasantías y prácticas académicas no remuneradas, de todos los programas curriculares de pregrado y postgrado de la FACULTAD DE CIENCIAS HUMANAS DE LA UNIVERSIDAD NACIONAL DE COLOMBIA – SEDE BOGOTÁDE CIENCIAS HUMANAS , que tengan prevista la pasantía como modalidad de trabajo de grado o la práctica dentro del plan de estudios, en actividades relacionadas con la disciplina de formación del estudiante, con miras a contribuir a su fortalecimiento profesional, a complementar la formación académica adquirida durante el proceso enseñanza-aprendizaje y favorecer el afianzamiento de la formación profesional y humana de los estudiantes de la FACULTAD</t>
  </si>
  <si>
    <t>Dos (2) años, contados a partir de la suscripción del mismo</t>
  </si>
  <si>
    <t>149-2018</t>
  </si>
  <si>
    <t>ESCUELA SUPERIOR DE ADMINISTRACIÓN PÚBLICA - ESAP</t>
  </si>
  <si>
    <t>899.999.054-7</t>
  </si>
  <si>
    <t xml:space="preserve">Establecer los mecanismos de colaboración y cooperación entre la FUNCION PUBLICA Y LA ESAP para la atención de los riesgos previstos en el PLAN DE CONTINUIDAD DEL NEGOCIO, el cual hace parte integral del presente convenio.  </t>
  </si>
  <si>
    <t xml:space="preserve">Doce (12) meses, contados a partir de la suscripción del mismo. </t>
  </si>
  <si>
    <t xml:space="preserve">CM-015-2018 </t>
  </si>
  <si>
    <t>860042945-5</t>
  </si>
  <si>
    <t>VALOR ASIGNADO EN CASO DE REQUERIRSE</t>
  </si>
  <si>
    <t>8718  2018 22 Enero 2018</t>
  </si>
  <si>
    <t>25918-2018 01 Febrero 2018</t>
  </si>
  <si>
    <t>18318  2018 22 Enero 2018</t>
  </si>
  <si>
    <t>28018-2018 08 Febrero 2018</t>
  </si>
  <si>
    <t>860090247-7</t>
  </si>
  <si>
    <t>CONTRATO DE MNIMA CUANTIA</t>
  </si>
  <si>
    <t>PAGO BIMENSUAL - SERVICIO PRESTADO</t>
  </si>
  <si>
    <t>18418  2018 23 Enero 2018</t>
  </si>
  <si>
    <t>31118-2018 15 Febrero 2018</t>
  </si>
  <si>
    <t>SERVICIO PRESTADO</t>
  </si>
  <si>
    <t>19018  2018 30 Enero 2018</t>
  </si>
  <si>
    <t>31418-2018 16 Febrero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</si>
</sst>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quot;$&quot;\ * #,##0.00_);_(&quot;$&quot;\ * \(#,##0.00\);_(&quot;$&quot;\ * &quot;-&quot;??_);_(@_)"/>
    <numFmt numFmtId="43" formatCode="_(* #,##0.00_);_(* \(#,##0.00\);_(* &quot;-&quot;??_);_(@_)"/>
    <numFmt numFmtId="164" formatCode="&quot;$&quot;#,##0.00;[Red]\-&quot;$&quot;#,##0.00"/>
    <numFmt numFmtId="165" formatCode="_-&quot;$&quot;* #,##0_-;\-&quot;$&quot;* #,##0_-;_-&quot;$&quot;* &quot;-&quot;_-;_-@_-"/>
    <numFmt numFmtId="166" formatCode="_-* #,##0_-;\-* #,##0_-;_-* &quot;-&quot;_-;_-@_-"/>
    <numFmt numFmtId="167" formatCode="_-&quot;$&quot;* #,##0.00_-;\-&quot;$&quot;* #,##0.00_-;_-&quot;$&quot;* &quot;-&quot;??_-;_-@_-"/>
    <numFmt numFmtId="168" formatCode="_-&quot;$&quot;\ * #,##0.00_-;\-&quot;$&quot;\ * #,##0.00_-;_-&quot;$&quot;\ * &quot;-&quot;??_-;_-@_-"/>
    <numFmt numFmtId="169" formatCode="_ * #,##0.00_ ;_ * \-#,##0.00_ ;_ * &quot;-&quot;??_ ;_ @_ "/>
    <numFmt numFmtId="170" formatCode="_(&quot;$&quot;\ * #,##0_);_(&quot;$&quot;\ * \(#,##0\);_(&quot;$&quot;\ * &quot;-&quot;??_);_(@_)"/>
    <numFmt numFmtId="171" formatCode="_([$$-240A]\ * #,##0.00_);_([$$-240A]\ * \(#,##0.00\);_([$$-240A]\ * &quot;-&quot;??_);_(@_)"/>
    <numFmt numFmtId="172" formatCode="#,###\ &quot;MESES&quot;"/>
    <numFmt numFmtId="173" formatCode="&quot;$&quot;\ #,##0.00"/>
    <numFmt numFmtId="174" formatCode="_ &quot;$&quot;\ * #,##0.00_ ;_ &quot;$&quot;\ * \-#,##0.00_ ;_ &quot;$&quot;\ * &quot;-&quot;??_ ;_ @_ "/>
    <numFmt numFmtId="175" formatCode="_-&quot;$&quot;* #,##0.00_-;\-&quot;$&quot;* #,##0.00_-;_-&quot;$&quot;* &quot;-&quot;_-;_-@_-"/>
    <numFmt numFmtId="176" formatCode="#,##0.00_ ;\-#,##0.00\ "/>
    <numFmt numFmtId="177" formatCode="_-[$$-240A]* #,##0.00_-;\-[$$-240A]* #,##0.00_-;_-[$$-240A]* &quot;-&quot;??_-;_-@_-"/>
    <numFmt numFmtId="178" formatCode="[$-1240A]&quot;$&quot;\ #,##0.00;\(&quot;$&quot;\ #,##0.00\)"/>
    <numFmt numFmtId="179" formatCode="0.000%"/>
    <numFmt numFmtId="180" formatCode="#,###.0\ &quot;MESES&quot;"/>
    <numFmt numFmtId="181" formatCode="0.00\ &quot;%&quot;"/>
  </numFmts>
  <fonts count="147" x14ac:knownFonts="1">
    <font>
      <sz val="11"/>
      <color theme="1"/>
      <name val="Calibri"/>
      <family val="2"/>
      <scheme val="minor"/>
    </font>
    <font>
      <sz val="11"/>
      <name val="Arial"/>
      <family val="2"/>
    </font>
    <font>
      <sz val="10"/>
      <name val="Arial"/>
      <family val="2"/>
    </font>
    <font>
      <sz val="20"/>
      <color indexed="8"/>
      <name val="Calibri"/>
      <family val="2"/>
    </font>
    <font>
      <sz val="11"/>
      <name val="Calibri"/>
      <family val="2"/>
    </font>
    <font>
      <b/>
      <sz val="11"/>
      <name val="Calibri"/>
      <family val="2"/>
    </font>
    <font>
      <sz val="9"/>
      <name val="Arial"/>
      <family val="2"/>
    </font>
    <font>
      <sz val="14"/>
      <name val="Arial"/>
      <family val="2"/>
    </font>
    <font>
      <b/>
      <sz val="11"/>
      <name val="Arial"/>
      <family val="2"/>
    </font>
    <font>
      <sz val="8"/>
      <name val="Arial"/>
      <family val="2"/>
    </font>
    <font>
      <b/>
      <sz val="20"/>
      <name val="Arial"/>
      <family val="2"/>
    </font>
    <font>
      <b/>
      <sz val="9"/>
      <name val="Times New Roman"/>
      <family val="1"/>
    </font>
    <font>
      <b/>
      <sz val="16"/>
      <name val="Calibri"/>
      <family val="2"/>
    </font>
    <font>
      <sz val="9"/>
      <name val="Calibri"/>
      <family val="2"/>
    </font>
    <font>
      <b/>
      <sz val="16"/>
      <name val="Arial"/>
      <family val="2"/>
    </font>
    <font>
      <sz val="18"/>
      <name val="Calibri"/>
      <family val="2"/>
    </font>
    <font>
      <sz val="20"/>
      <name val="Calibri"/>
      <family val="2"/>
    </font>
    <font>
      <b/>
      <sz val="18"/>
      <name val="Arial"/>
      <family val="2"/>
    </font>
    <font>
      <sz val="16"/>
      <name val="Arial"/>
      <family val="2"/>
    </font>
    <font>
      <sz val="18"/>
      <name val="Arial"/>
      <family val="2"/>
    </font>
    <font>
      <sz val="22"/>
      <name val="Calibri"/>
      <family val="2"/>
    </font>
    <font>
      <b/>
      <sz val="12"/>
      <name val="Arial"/>
      <family val="2"/>
    </font>
    <font>
      <sz val="22"/>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sz val="12"/>
      <color theme="1"/>
      <name val="Arial"/>
      <family val="2"/>
    </font>
    <font>
      <b/>
      <sz val="12"/>
      <color theme="1"/>
      <name val="Arial"/>
      <family val="2"/>
    </font>
    <font>
      <sz val="9"/>
      <color theme="0"/>
      <name val="Arial"/>
      <family val="2"/>
    </font>
    <font>
      <sz val="9"/>
      <color theme="0"/>
      <name val="Calibri"/>
      <family val="2"/>
    </font>
    <font>
      <b/>
      <sz val="11"/>
      <color theme="0"/>
      <name val="Arial"/>
      <family val="2"/>
    </font>
    <font>
      <sz val="11"/>
      <color theme="0"/>
      <name val="Arial"/>
      <family val="2"/>
    </font>
    <font>
      <sz val="18"/>
      <color theme="0"/>
      <name val="Arial"/>
      <family val="2"/>
    </font>
    <font>
      <b/>
      <sz val="11"/>
      <color theme="1"/>
      <name val="Arial"/>
      <family val="2"/>
    </font>
    <font>
      <sz val="14"/>
      <color theme="1"/>
      <name val="Calibri"/>
      <family val="2"/>
      <scheme val="minor"/>
    </font>
    <font>
      <sz val="16"/>
      <color theme="0"/>
      <name val="Arial"/>
      <family val="2"/>
    </font>
    <font>
      <b/>
      <sz val="16"/>
      <color theme="0"/>
      <name val="Arial"/>
      <family val="2"/>
    </font>
    <font>
      <sz val="16"/>
      <color theme="1"/>
      <name val="Arial"/>
      <family val="2"/>
    </font>
    <font>
      <sz val="16"/>
      <color rgb="FFFF0000"/>
      <name val="Arial"/>
      <family val="2"/>
    </font>
    <font>
      <b/>
      <sz val="9"/>
      <color theme="0"/>
      <name val="Times New Roman"/>
      <family val="1"/>
    </font>
    <font>
      <b/>
      <sz val="11"/>
      <color theme="0"/>
      <name val="Times New Roman"/>
      <family val="1"/>
    </font>
    <font>
      <b/>
      <sz val="8"/>
      <color theme="0"/>
      <name val="Arial"/>
      <family val="2"/>
    </font>
    <font>
      <b/>
      <sz val="16"/>
      <color rgb="FFFF0000"/>
      <name val="Calibri"/>
      <family val="2"/>
    </font>
    <font>
      <sz val="18"/>
      <color rgb="FFFF0000"/>
      <name val="Arial"/>
      <family val="2"/>
    </font>
    <font>
      <b/>
      <sz val="14"/>
      <color rgb="FFFF0000"/>
      <name val="Calibri"/>
      <family val="2"/>
      <scheme val="minor"/>
    </font>
    <font>
      <b/>
      <sz val="16"/>
      <color rgb="FF002060"/>
      <name val="Arial Narrow"/>
      <family val="2"/>
    </font>
    <font>
      <sz val="16"/>
      <color theme="1"/>
      <name val="Calibri"/>
      <family val="2"/>
      <scheme val="minor"/>
    </font>
    <font>
      <b/>
      <sz val="20"/>
      <color theme="1"/>
      <name val="Arial"/>
      <family val="2"/>
    </font>
    <font>
      <b/>
      <sz val="16"/>
      <color theme="1"/>
      <name val="Calibri"/>
      <family val="2"/>
      <scheme val="minor"/>
    </font>
    <font>
      <b/>
      <sz val="48"/>
      <color theme="1"/>
      <name val="Calibri"/>
      <family val="2"/>
      <scheme val="minor"/>
    </font>
    <font>
      <sz val="18"/>
      <color theme="1"/>
      <name val="Calibri"/>
      <family val="2"/>
      <scheme val="minor"/>
    </font>
    <font>
      <b/>
      <sz val="26"/>
      <color rgb="FFFF0000"/>
      <name val="Calibri"/>
      <family val="2"/>
      <scheme val="minor"/>
    </font>
    <font>
      <b/>
      <sz val="20"/>
      <color rgb="FFFF0000"/>
      <name val="Calibri"/>
      <family val="2"/>
      <scheme val="minor"/>
    </font>
    <font>
      <sz val="20"/>
      <color theme="1"/>
      <name val="Calibri"/>
      <family val="2"/>
      <scheme val="minor"/>
    </font>
    <font>
      <b/>
      <sz val="14"/>
      <color theme="0"/>
      <name val="Arial"/>
      <family val="2"/>
    </font>
    <font>
      <sz val="16"/>
      <name val="Calibri"/>
      <family val="2"/>
      <scheme val="minor"/>
    </font>
    <font>
      <sz val="26"/>
      <color theme="1"/>
      <name val="Calibri"/>
      <family val="2"/>
      <scheme val="minor"/>
    </font>
    <font>
      <b/>
      <sz val="20"/>
      <color theme="1"/>
      <name val="Calibri"/>
      <family val="2"/>
      <scheme val="minor"/>
    </font>
    <font>
      <sz val="26"/>
      <name val="Calibri"/>
      <family val="2"/>
      <scheme val="minor"/>
    </font>
    <font>
      <sz val="20"/>
      <color theme="5" tint="-0.499984740745262"/>
      <name val="Calibri"/>
      <family val="2"/>
      <scheme val="minor"/>
    </font>
    <font>
      <b/>
      <sz val="16"/>
      <color theme="5" tint="-0.499984740745262"/>
      <name val="Calibri"/>
      <family val="2"/>
      <scheme val="minor"/>
    </font>
    <font>
      <sz val="20"/>
      <color theme="1"/>
      <name val="Arial"/>
      <family val="2"/>
    </font>
    <font>
      <b/>
      <sz val="11"/>
      <color theme="0"/>
      <name val="Calibri"/>
      <family val="2"/>
      <scheme val="minor"/>
    </font>
    <font>
      <sz val="14"/>
      <name val="Calibri"/>
      <family val="2"/>
    </font>
    <font>
      <b/>
      <sz val="12"/>
      <color rgb="FFFF0000"/>
      <name val="Calibri"/>
      <family val="2"/>
    </font>
    <font>
      <b/>
      <sz val="11"/>
      <color theme="0"/>
      <name val="Calibri"/>
      <family val="2"/>
    </font>
    <font>
      <b/>
      <sz val="11"/>
      <color rgb="FF002060"/>
      <name val="Arial"/>
      <family val="2"/>
    </font>
    <font>
      <b/>
      <sz val="11"/>
      <color rgb="FF002060"/>
      <name val="Calibri"/>
      <family val="2"/>
    </font>
    <font>
      <sz val="11"/>
      <color theme="0"/>
      <name val="Calibri"/>
      <family val="2"/>
    </font>
    <font>
      <b/>
      <sz val="16"/>
      <color theme="0"/>
      <name val="Calibri"/>
      <family val="2"/>
      <scheme val="minor"/>
    </font>
    <font>
      <b/>
      <sz val="18"/>
      <name val="Calibri"/>
      <family val="2"/>
    </font>
    <font>
      <b/>
      <sz val="20"/>
      <color theme="0"/>
      <name val="Calibri"/>
      <family val="2"/>
    </font>
    <font>
      <b/>
      <sz val="11"/>
      <color rgb="FFFF0000"/>
      <name val="Calibri"/>
      <family val="2"/>
    </font>
    <font>
      <b/>
      <sz val="18"/>
      <color theme="0"/>
      <name val="Calibri"/>
      <family val="2"/>
    </font>
    <font>
      <b/>
      <sz val="16"/>
      <color theme="0"/>
      <name val="Calibri"/>
      <family val="2"/>
    </font>
    <font>
      <b/>
      <sz val="14"/>
      <name val="Calibri"/>
      <family val="2"/>
      <scheme val="minor"/>
    </font>
    <font>
      <b/>
      <sz val="14"/>
      <color theme="5" tint="-0.499984740745262"/>
      <name val="Arial"/>
      <family val="2"/>
    </font>
    <font>
      <sz val="16"/>
      <name val="Calibri"/>
      <family val="2"/>
    </font>
    <font>
      <sz val="20"/>
      <color theme="1"/>
      <name val="Calibri"/>
      <family val="2"/>
    </font>
    <font>
      <sz val="16"/>
      <color rgb="FF000000"/>
      <name val="Times New Roman"/>
      <family val="1"/>
    </font>
    <font>
      <sz val="14"/>
      <color theme="0"/>
      <name val="Arial"/>
      <family val="2"/>
    </font>
    <font>
      <b/>
      <sz val="9"/>
      <name val="Arial"/>
      <family val="2"/>
    </font>
    <font>
      <b/>
      <sz val="9"/>
      <color theme="0"/>
      <name val="Arial"/>
      <family val="2"/>
    </font>
    <font>
      <sz val="18"/>
      <color theme="0"/>
      <name val="Calibri"/>
      <family val="2"/>
    </font>
    <font>
      <b/>
      <sz val="14"/>
      <name val="Arial"/>
      <family val="2"/>
    </font>
    <font>
      <sz val="18"/>
      <name val="Calibri"/>
      <family val="2"/>
      <scheme val="minor"/>
    </font>
    <font>
      <sz val="14"/>
      <color theme="0"/>
      <name val="Calibri"/>
      <family val="2"/>
    </font>
    <font>
      <b/>
      <sz val="18"/>
      <color rgb="FFC00000"/>
      <name val="Arial"/>
      <family val="2"/>
    </font>
    <font>
      <sz val="18"/>
      <color theme="1"/>
      <name val="Arial"/>
      <family val="2"/>
    </font>
    <font>
      <sz val="18"/>
      <color theme="1"/>
      <name val="Calibri"/>
      <family val="2"/>
    </font>
    <font>
      <sz val="20"/>
      <color rgb="FF1F4E79"/>
      <name val="Calibri"/>
      <family val="2"/>
      <scheme val="minor"/>
    </font>
    <font>
      <sz val="18"/>
      <color rgb="FF000000"/>
      <name val="Times New Roman"/>
      <family val="1"/>
    </font>
    <font>
      <sz val="20"/>
      <name val="Arial Narrow"/>
      <family val="2"/>
    </font>
    <font>
      <sz val="18"/>
      <color theme="0"/>
      <name val="Times New Roman"/>
      <family val="1"/>
    </font>
    <font>
      <b/>
      <sz val="20"/>
      <name val="Arial Narrow"/>
      <family val="2"/>
    </font>
    <font>
      <b/>
      <sz val="20"/>
      <color rgb="FFFF0000"/>
      <name val="Calibri"/>
      <family val="2"/>
    </font>
    <font>
      <b/>
      <sz val="9"/>
      <name val="Calibri"/>
      <family val="2"/>
    </font>
    <font>
      <b/>
      <sz val="14"/>
      <name val="Calibri"/>
      <family val="2"/>
    </font>
    <font>
      <b/>
      <sz val="20"/>
      <name val="Calibri"/>
      <family val="2"/>
    </font>
    <font>
      <sz val="20"/>
      <color theme="0"/>
      <name val="Calibri"/>
      <family val="2"/>
    </font>
    <font>
      <b/>
      <sz val="8"/>
      <name val="Arial"/>
      <family val="2"/>
    </font>
    <font>
      <sz val="12"/>
      <name val="Calibri"/>
      <family val="2"/>
    </font>
    <font>
      <b/>
      <sz val="10"/>
      <name val="Arial"/>
      <family val="2"/>
    </font>
    <font>
      <sz val="8"/>
      <name val="Calibri"/>
      <family val="2"/>
    </font>
    <font>
      <sz val="8"/>
      <name val="Times New Roman"/>
      <family val="1"/>
    </font>
    <font>
      <b/>
      <sz val="8"/>
      <name val="Calibri"/>
      <family val="2"/>
    </font>
    <font>
      <b/>
      <sz val="22"/>
      <name val="Calibri"/>
      <family val="2"/>
    </font>
    <font>
      <b/>
      <sz val="11"/>
      <name val="Calibri"/>
      <family val="2"/>
      <scheme val="minor"/>
    </font>
    <font>
      <b/>
      <sz val="16"/>
      <name val="Calibri"/>
      <family val="2"/>
      <scheme val="minor"/>
    </font>
    <font>
      <b/>
      <sz val="18"/>
      <color rgb="FF002060"/>
      <name val="Arial"/>
      <family val="2"/>
    </font>
    <font>
      <sz val="18"/>
      <color rgb="FF002060"/>
      <name val="Arial"/>
      <family val="2"/>
    </font>
    <font>
      <sz val="28"/>
      <color theme="1"/>
      <name val="Calibri"/>
      <family val="2"/>
      <scheme val="minor"/>
    </font>
    <font>
      <b/>
      <sz val="18"/>
      <name val="Arial Narrow"/>
      <family val="2"/>
    </font>
    <font>
      <b/>
      <sz val="36"/>
      <name val="Arial"/>
      <family val="2"/>
    </font>
    <font>
      <b/>
      <sz val="26"/>
      <name val="Arial"/>
      <family val="2"/>
    </font>
    <font>
      <b/>
      <sz val="28"/>
      <color rgb="FFFF0000"/>
      <name val="Calibri"/>
      <family val="2"/>
      <scheme val="minor"/>
    </font>
    <font>
      <b/>
      <sz val="28"/>
      <name val="Arial Narrow"/>
      <family val="2"/>
    </font>
    <font>
      <sz val="16"/>
      <color rgb="FFC00000"/>
      <name val="Arial"/>
      <family val="2"/>
    </font>
    <font>
      <sz val="12"/>
      <name val="Calibri"/>
      <family val="2"/>
      <scheme val="minor"/>
    </font>
    <font>
      <sz val="10"/>
      <color theme="1"/>
      <name val="Arial"/>
      <family val="2"/>
    </font>
    <font>
      <b/>
      <sz val="12"/>
      <color theme="0"/>
      <name val="Times New Roman"/>
      <family val="1"/>
    </font>
    <font>
      <sz val="20"/>
      <name val="Calibri"/>
      <family val="2"/>
      <scheme val="minor"/>
    </font>
    <font>
      <b/>
      <sz val="22"/>
      <color theme="1"/>
      <name val="Calibri"/>
      <family val="2"/>
      <scheme val="minor"/>
    </font>
    <font>
      <sz val="14"/>
      <color rgb="FFFF0000"/>
      <name val="Arial"/>
      <family val="2"/>
    </font>
    <font>
      <b/>
      <sz val="14"/>
      <color rgb="FFFF0000"/>
      <name val="Arial"/>
      <family val="2"/>
    </font>
    <font>
      <b/>
      <strike/>
      <sz val="36"/>
      <name val="Arial"/>
      <family val="2"/>
    </font>
    <font>
      <b/>
      <strike/>
      <sz val="18"/>
      <name val="Arial"/>
      <family val="2"/>
    </font>
    <font>
      <b/>
      <strike/>
      <sz val="26"/>
      <name val="Arial"/>
      <family val="2"/>
    </font>
    <font>
      <b/>
      <sz val="11"/>
      <color rgb="FFFF0000"/>
      <name val="Calibri"/>
      <family val="2"/>
      <scheme val="minor"/>
    </font>
    <font>
      <b/>
      <sz val="36"/>
      <color theme="1"/>
      <name val="Calibri"/>
      <family val="2"/>
      <scheme val="minor"/>
    </font>
    <font>
      <b/>
      <sz val="12"/>
      <color theme="1"/>
      <name val="Calibri"/>
      <family val="2"/>
      <scheme val="minor"/>
    </font>
    <font>
      <b/>
      <sz val="22"/>
      <color theme="5" tint="-0.499984740745262"/>
      <name val="Calibri"/>
      <family val="2"/>
      <scheme val="minor"/>
    </font>
    <font>
      <b/>
      <sz val="15"/>
      <name val="Arial"/>
      <family val="2"/>
    </font>
    <font>
      <sz val="15"/>
      <name val="Arial"/>
      <family val="2"/>
    </font>
    <font>
      <sz val="15"/>
      <color theme="1"/>
      <name val="Arial"/>
      <family val="2"/>
    </font>
    <font>
      <b/>
      <sz val="15"/>
      <color theme="1"/>
      <name val="Arial"/>
      <family val="2"/>
    </font>
    <font>
      <b/>
      <sz val="24"/>
      <color rgb="FFC00000"/>
      <name val="Arial"/>
      <family val="2"/>
    </font>
    <font>
      <b/>
      <sz val="14"/>
      <color theme="1"/>
      <name val="Calibri"/>
      <family val="2"/>
      <scheme val="minor"/>
    </font>
    <font>
      <b/>
      <sz val="15"/>
      <color theme="0"/>
      <name val="Arial"/>
      <family val="2"/>
    </font>
    <font>
      <sz val="12"/>
      <color rgb="FFFF0000"/>
      <name val="Arial"/>
      <family val="2"/>
    </font>
    <font>
      <b/>
      <sz val="20"/>
      <color theme="0"/>
      <name val="Arial"/>
      <family val="2"/>
    </font>
    <font>
      <b/>
      <sz val="25"/>
      <color rgb="FFFF0000"/>
      <name val="Arial"/>
      <family val="2"/>
    </font>
  </fonts>
  <fills count="35">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rgb="FF00B050"/>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499984740745262"/>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0070C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00B0F0"/>
        <bgColor indexed="64"/>
      </patternFill>
    </fill>
    <fill>
      <patternFill patternType="solid">
        <fgColor theme="5"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ck">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style="thin">
        <color rgb="FFD3D3D3"/>
      </left>
      <right style="thin">
        <color indexed="64"/>
      </right>
      <top/>
      <bottom style="thin">
        <color rgb="FFD3D3D3"/>
      </bottom>
      <diagonal/>
    </border>
    <border>
      <left/>
      <right style="thin">
        <color rgb="FFD3D3D3"/>
      </right>
      <top/>
      <bottom style="thin">
        <color rgb="FFD3D3D3"/>
      </bottom>
      <diagonal/>
    </border>
    <border>
      <left/>
      <right style="thin">
        <color rgb="FFD3D3D3"/>
      </right>
      <top/>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indexed="64"/>
      </right>
      <top style="thin">
        <color rgb="FFD3D3D3"/>
      </top>
      <bottom/>
      <diagonal/>
    </border>
    <border>
      <left/>
      <right style="thin">
        <color rgb="FFD3D3D3"/>
      </right>
      <top style="thin">
        <color rgb="FFD3D3D3"/>
      </top>
      <bottom/>
      <diagonal/>
    </border>
    <border>
      <left/>
      <right/>
      <top style="thin">
        <color rgb="FFD3D3D3"/>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s>
  <cellStyleXfs count="19">
    <xf numFmtId="0" fontId="0" fillId="0" borderId="0"/>
    <xf numFmtId="0" fontId="24" fillId="2" borderId="0" applyNumberFormat="0" applyBorder="0" applyAlignment="0" applyProtection="0"/>
    <xf numFmtId="0" fontId="25" fillId="0" borderId="0" applyNumberFormat="0" applyFill="0" applyBorder="0" applyAlignment="0" applyProtection="0"/>
    <xf numFmtId="166" fontId="23" fillId="0" borderId="0" applyFont="0" applyFill="0" applyBorder="0" applyAlignment="0" applyProtection="0"/>
    <xf numFmtId="43" fontId="26" fillId="0" borderId="0" applyFont="0" applyFill="0" applyBorder="0" applyAlignment="0" applyProtection="0"/>
    <xf numFmtId="169" fontId="2"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165" fontId="26" fillId="0" borderId="0" applyFont="0" applyFill="0" applyBorder="0" applyAlignment="0" applyProtection="0"/>
    <xf numFmtId="165" fontId="23" fillId="0" borderId="0" applyFont="0" applyFill="0" applyBorder="0" applyAlignment="0" applyProtection="0"/>
    <xf numFmtId="174" fontId="2" fillId="0" borderId="0" applyFont="0" applyFill="0" applyBorder="0" applyAlignment="0" applyProtection="0"/>
    <xf numFmtId="44" fontId="23" fillId="0" borderId="0" applyFont="0" applyFill="0" applyBorder="0" applyAlignment="0" applyProtection="0"/>
    <xf numFmtId="167" fontId="26" fillId="0" borderId="0" applyFont="0" applyFill="0" applyBorder="0" applyAlignment="0" applyProtection="0"/>
    <xf numFmtId="44" fontId="26" fillId="0" borderId="0" applyFont="0" applyFill="0" applyBorder="0" applyAlignment="0" applyProtection="0"/>
    <xf numFmtId="0" fontId="26" fillId="0" borderId="0"/>
    <xf numFmtId="0" fontId="2" fillId="0" borderId="0"/>
    <xf numFmtId="0" fontId="2" fillId="0" borderId="0"/>
    <xf numFmtId="9" fontId="23" fillId="0" borderId="0" applyFont="0" applyFill="0" applyBorder="0" applyAlignment="0" applyProtection="0"/>
    <xf numFmtId="44" fontId="23" fillId="0" borderId="0" applyFont="0" applyFill="0" applyBorder="0" applyAlignment="0" applyProtection="0"/>
  </cellStyleXfs>
  <cellXfs count="907">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29" fillId="0" borderId="0" xfId="0" applyFont="1"/>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4" fillId="0" borderId="0" xfId="14" applyFont="1" applyFill="1" applyBorder="1"/>
    <xf numFmtId="0" fontId="0" fillId="0" borderId="0" xfId="0" quotePrefix="1" applyFont="1" applyBorder="1" applyAlignment="1">
      <alignment horizontal="center" vertical="center" wrapText="1"/>
    </xf>
    <xf numFmtId="0" fontId="25" fillId="0" borderId="0" xfId="2" quotePrefix="1" applyFont="1" applyBorder="1" applyAlignment="1">
      <alignment horizontal="center" vertical="center" wrapText="1"/>
    </xf>
    <xf numFmtId="170" fontId="0" fillId="0" borderId="0" xfId="0" applyNumberFormat="1" applyFont="1" applyFill="1" applyBorder="1" applyAlignment="1">
      <alignment horizontal="center" vertical="center" wrapText="1"/>
    </xf>
    <xf numFmtId="173" fontId="0" fillId="0" borderId="0" xfId="0" applyNumberFormat="1" applyFont="1" applyFill="1" applyBorder="1" applyAlignment="1">
      <alignment horizontal="center" vertical="center" wrapText="1"/>
    </xf>
    <xf numFmtId="173" fontId="0" fillId="0" borderId="0" xfId="0" applyNumberFormat="1" applyFont="1"/>
    <xf numFmtId="173" fontId="0" fillId="0" borderId="0" xfId="0" applyNumberFormat="1" applyFont="1" applyAlignment="1">
      <alignment horizontal="center" vertical="center" wrapText="1"/>
    </xf>
    <xf numFmtId="0" fontId="31" fillId="0" borderId="0" xfId="0" applyFont="1" applyBorder="1" applyAlignment="1">
      <alignment vertical="center" wrapText="1"/>
    </xf>
    <xf numFmtId="0" fontId="0" fillId="0" borderId="3" xfId="0" applyFont="1" applyBorder="1"/>
    <xf numFmtId="0" fontId="31" fillId="0" borderId="0" xfId="0" applyFont="1" applyBorder="1" applyAlignment="1">
      <alignment horizontal="left" vertical="center" wrapText="1"/>
    </xf>
    <xf numFmtId="14" fontId="31" fillId="0" borderId="0" xfId="0" applyNumberFormat="1" applyFont="1" applyBorder="1" applyAlignment="1">
      <alignment horizontal="center" vertical="center" wrapText="1"/>
    </xf>
    <xf numFmtId="0" fontId="32" fillId="0" borderId="0" xfId="0" applyFont="1" applyBorder="1" applyAlignment="1">
      <alignment horizontal="left" vertical="center" wrapText="1"/>
    </xf>
    <xf numFmtId="0" fontId="4" fillId="0" borderId="0" xfId="14" applyFont="1" applyFill="1" applyBorder="1" applyAlignment="1"/>
    <xf numFmtId="0" fontId="11" fillId="0" borderId="0" xfId="14" applyNumberFormat="1" applyFont="1" applyFill="1" applyBorder="1" applyAlignment="1">
      <alignment horizontal="center" vertical="center" wrapText="1" readingOrder="1"/>
    </xf>
    <xf numFmtId="0" fontId="9" fillId="0" borderId="1" xfId="14" applyNumberFormat="1" applyFont="1" applyFill="1" applyBorder="1" applyAlignment="1">
      <alignment horizontal="center" vertical="center" wrapText="1" readingOrder="1"/>
    </xf>
    <xf numFmtId="0" fontId="6" fillId="3" borderId="1" xfId="14" applyNumberFormat="1" applyFont="1" applyFill="1" applyBorder="1" applyAlignment="1">
      <alignment vertical="center" wrapText="1" readingOrder="1"/>
    </xf>
    <xf numFmtId="0" fontId="6" fillId="6" borderId="1" xfId="14" applyNumberFormat="1" applyFont="1" applyFill="1" applyBorder="1" applyAlignment="1">
      <alignment horizontal="center" vertical="center" wrapText="1" readingOrder="1"/>
    </xf>
    <xf numFmtId="0" fontId="6" fillId="6" borderId="21" xfId="14" applyNumberFormat="1" applyFont="1" applyFill="1" applyBorder="1" applyAlignment="1">
      <alignment horizontal="center" vertical="center" wrapText="1" readingOrder="1"/>
    </xf>
    <xf numFmtId="0" fontId="13" fillId="0" borderId="0" xfId="14" applyFont="1" applyFill="1" applyBorder="1"/>
    <xf numFmtId="0" fontId="13" fillId="6" borderId="0" xfId="14" applyFont="1" applyFill="1" applyBorder="1"/>
    <xf numFmtId="0" fontId="6" fillId="7" borderId="21" xfId="14" applyNumberFormat="1" applyFont="1" applyFill="1" applyBorder="1" applyAlignment="1">
      <alignment horizontal="center" vertical="center" wrapText="1" readingOrder="1"/>
    </xf>
    <xf numFmtId="0" fontId="33" fillId="5" borderId="21" xfId="14" applyNumberFormat="1" applyFont="1" applyFill="1" applyBorder="1" applyAlignment="1">
      <alignment horizontal="center" vertical="center" wrapText="1" readingOrder="1"/>
    </xf>
    <xf numFmtId="0" fontId="33" fillId="5" borderId="1" xfId="14" applyNumberFormat="1" applyFont="1" applyFill="1" applyBorder="1" applyAlignment="1">
      <alignment horizontal="center" vertical="center" wrapText="1" readingOrder="1"/>
    </xf>
    <xf numFmtId="0" fontId="33" fillId="5" borderId="1" xfId="14" applyNumberFormat="1" applyFont="1" applyFill="1" applyBorder="1" applyAlignment="1">
      <alignment vertical="center" wrapText="1" readingOrder="1"/>
    </xf>
    <xf numFmtId="0" fontId="34" fillId="5" borderId="0" xfId="14" applyFont="1" applyFill="1" applyBorder="1"/>
    <xf numFmtId="0" fontId="36" fillId="5" borderId="1" xfId="14" applyNumberFormat="1" applyFont="1" applyFill="1" applyBorder="1" applyAlignment="1">
      <alignment horizontal="left" vertical="center" wrapText="1" readingOrder="1"/>
    </xf>
    <xf numFmtId="0" fontId="8" fillId="3" borderId="1" xfId="14" applyNumberFormat="1" applyFont="1" applyFill="1" applyBorder="1" applyAlignment="1">
      <alignment horizontal="left" vertical="center" wrapText="1" readingOrder="1"/>
    </xf>
    <xf numFmtId="0" fontId="8" fillId="8" borderId="6" xfId="14" applyNumberFormat="1" applyFont="1" applyFill="1" applyBorder="1" applyAlignment="1">
      <alignment horizontal="center" vertical="center" wrapText="1" readingOrder="1"/>
    </xf>
    <xf numFmtId="0" fontId="6" fillId="3" borderId="1" xfId="14" applyNumberFormat="1" applyFont="1" applyFill="1" applyBorder="1" applyAlignment="1">
      <alignment horizontal="center" vertical="center" wrapText="1" readingOrder="1"/>
    </xf>
    <xf numFmtId="39" fontId="37" fillId="5" borderId="1" xfId="14" applyNumberFormat="1" applyFont="1" applyFill="1" applyBorder="1" applyAlignment="1">
      <alignment horizontal="right" vertical="center" wrapText="1" readingOrder="1"/>
    </xf>
    <xf numFmtId="0" fontId="28" fillId="0" borderId="0" xfId="0" applyFont="1" applyBorder="1" applyAlignment="1">
      <alignment horizontal="center" vertical="center" wrapText="1"/>
    </xf>
    <xf numFmtId="0" fontId="0" fillId="0" borderId="0" xfId="0" applyFont="1" applyFill="1" applyBorder="1" applyAlignment="1">
      <alignment horizontal="right" vertical="center" wrapText="1"/>
    </xf>
    <xf numFmtId="0" fontId="38" fillId="3" borderId="1" xfId="14" applyNumberFormat="1" applyFont="1" applyFill="1" applyBorder="1" applyAlignment="1">
      <alignment horizontal="left" vertical="center" wrapText="1" readingOrder="1"/>
    </xf>
    <xf numFmtId="0" fontId="39" fillId="0" borderId="10" xfId="0" applyFont="1" applyBorder="1" applyAlignment="1">
      <alignment horizontal="center" vertical="center" wrapText="1"/>
    </xf>
    <xf numFmtId="0" fontId="39" fillId="0" borderId="11" xfId="0" applyFont="1" applyBorder="1" applyAlignment="1">
      <alignment horizontal="center" vertical="center" wrapText="1"/>
    </xf>
    <xf numFmtId="39" fontId="18" fillId="3" borderId="1" xfId="14" applyNumberFormat="1" applyFont="1" applyFill="1" applyBorder="1" applyAlignment="1">
      <alignment horizontal="right" vertical="center" wrapText="1" readingOrder="1"/>
    </xf>
    <xf numFmtId="39" fontId="18" fillId="3" borderId="1" xfId="14" applyNumberFormat="1" applyFont="1" applyFill="1" applyBorder="1" applyAlignment="1">
      <alignment vertical="center" wrapText="1" readingOrder="1"/>
    </xf>
    <xf numFmtId="39" fontId="42" fillId="3" borderId="1" xfId="14" applyNumberFormat="1" applyFont="1" applyFill="1" applyBorder="1" applyAlignment="1">
      <alignment horizontal="right" vertical="center" wrapText="1" readingOrder="1"/>
    </xf>
    <xf numFmtId="39" fontId="43" fillId="3" borderId="1" xfId="14" applyNumberFormat="1" applyFont="1" applyFill="1" applyBorder="1" applyAlignment="1">
      <alignment horizontal="right" vertical="center" wrapText="1" readingOrder="1"/>
    </xf>
    <xf numFmtId="39" fontId="40" fillId="10" borderId="1" xfId="14" applyNumberFormat="1" applyFont="1" applyFill="1" applyBorder="1" applyAlignment="1">
      <alignment horizontal="right" vertical="center" wrapText="1" readingOrder="1"/>
    </xf>
    <xf numFmtId="0" fontId="18" fillId="3" borderId="1" xfId="14" applyNumberFormat="1" applyFont="1" applyFill="1" applyBorder="1" applyAlignment="1">
      <alignment vertical="center" wrapText="1" readingOrder="1"/>
    </xf>
    <xf numFmtId="44" fontId="0" fillId="0" borderId="0" xfId="0" applyNumberFormat="1" applyFont="1"/>
    <xf numFmtId="175" fontId="16" fillId="3" borderId="1" xfId="7" applyNumberFormat="1" applyFont="1" applyFill="1" applyBorder="1" applyAlignment="1">
      <alignment horizontal="center" vertical="center"/>
    </xf>
    <xf numFmtId="0" fontId="39" fillId="3" borderId="0" xfId="0" applyFont="1" applyFill="1" applyBorder="1" applyAlignment="1">
      <alignment horizontal="center" vertical="center" wrapText="1"/>
    </xf>
    <xf numFmtId="0" fontId="29" fillId="0" borderId="0" xfId="0" applyFont="1" applyAlignment="1">
      <alignment horizontal="center" vertical="center"/>
    </xf>
    <xf numFmtId="173" fontId="29" fillId="0" borderId="0" xfId="0" applyNumberFormat="1" applyFont="1" applyAlignment="1">
      <alignment horizontal="center" vertical="center"/>
    </xf>
    <xf numFmtId="0" fontId="8" fillId="0" borderId="1" xfId="14" applyNumberFormat="1" applyFont="1" applyFill="1" applyBorder="1" applyAlignment="1">
      <alignment horizontal="left" vertical="center" wrapText="1" readingOrder="1"/>
    </xf>
    <xf numFmtId="0" fontId="44" fillId="12" borderId="0" xfId="14" applyNumberFormat="1" applyFont="1" applyFill="1" applyBorder="1" applyAlignment="1">
      <alignment horizontal="center" vertical="center" wrapText="1" readingOrder="1"/>
    </xf>
    <xf numFmtId="0" fontId="45" fillId="12" borderId="12" xfId="14" applyNumberFormat="1" applyFont="1" applyFill="1" applyBorder="1" applyAlignment="1">
      <alignment horizontal="center" vertical="center" wrapText="1" readingOrder="1"/>
    </xf>
    <xf numFmtId="0" fontId="35" fillId="12" borderId="6" xfId="14" applyNumberFormat="1" applyFont="1" applyFill="1" applyBorder="1" applyAlignment="1">
      <alignment horizontal="center" vertical="center" wrapText="1" readingOrder="1"/>
    </xf>
    <xf numFmtId="39" fontId="47" fillId="0" borderId="0" xfId="14" applyNumberFormat="1" applyFont="1" applyFill="1" applyBorder="1" applyAlignment="1"/>
    <xf numFmtId="0" fontId="46" fillId="12" borderId="6" xfId="14" applyNumberFormat="1" applyFont="1" applyFill="1" applyBorder="1" applyAlignment="1">
      <alignment horizontal="center" vertical="center" wrapText="1" readingOrder="1"/>
    </xf>
    <xf numFmtId="39" fontId="6" fillId="3" borderId="1" xfId="14" applyNumberFormat="1" applyFont="1" applyFill="1" applyBorder="1" applyAlignment="1">
      <alignment horizontal="right" vertical="center" wrapText="1" readingOrder="1"/>
    </xf>
    <xf numFmtId="39" fontId="19" fillId="3" borderId="1" xfId="14" applyNumberFormat="1" applyFont="1" applyFill="1" applyBorder="1" applyAlignment="1">
      <alignment horizontal="right" vertical="center" wrapText="1" readingOrder="1"/>
    </xf>
    <xf numFmtId="0" fontId="19" fillId="3" borderId="1" xfId="14" applyNumberFormat="1" applyFont="1" applyFill="1" applyBorder="1" applyAlignment="1">
      <alignment vertical="center" wrapText="1" readingOrder="1"/>
    </xf>
    <xf numFmtId="39" fontId="19" fillId="3" borderId="1" xfId="14" applyNumberFormat="1" applyFont="1" applyFill="1" applyBorder="1" applyAlignment="1">
      <alignment horizontal="center" vertical="center" wrapText="1" readingOrder="1"/>
    </xf>
    <xf numFmtId="39" fontId="19" fillId="3" borderId="1" xfId="14" applyNumberFormat="1" applyFont="1" applyFill="1" applyBorder="1" applyAlignment="1">
      <alignment vertical="center" wrapText="1" readingOrder="1"/>
    </xf>
    <xf numFmtId="39" fontId="18" fillId="3" borderId="1" xfId="14" applyNumberFormat="1" applyFont="1" applyFill="1" applyBorder="1" applyAlignment="1">
      <alignment horizontal="right" vertical="center" readingOrder="1"/>
    </xf>
    <xf numFmtId="39" fontId="43" fillId="3" borderId="1" xfId="14" applyNumberFormat="1" applyFont="1" applyFill="1" applyBorder="1" applyAlignment="1">
      <alignment vertical="center" wrapText="1" readingOrder="1"/>
    </xf>
    <xf numFmtId="0" fontId="8" fillId="8" borderId="14" xfId="14" applyNumberFormat="1" applyFont="1" applyFill="1" applyBorder="1" applyAlignment="1">
      <alignment horizontal="center" vertical="center" wrapText="1" readingOrder="1"/>
    </xf>
    <xf numFmtId="39" fontId="48" fillId="3" borderId="1" xfId="14" applyNumberFormat="1" applyFont="1" applyFill="1" applyBorder="1" applyAlignment="1">
      <alignment horizontal="right" vertical="center" wrapText="1" readingOrder="1"/>
    </xf>
    <xf numFmtId="165" fontId="20" fillId="4" borderId="0" xfId="7" applyFont="1" applyFill="1" applyBorder="1" applyAlignment="1"/>
    <xf numFmtId="166" fontId="23" fillId="0" borderId="0" xfId="3" applyFont="1" applyBorder="1" applyAlignment="1">
      <alignment horizontal="right" vertical="center" wrapText="1"/>
    </xf>
    <xf numFmtId="166" fontId="23" fillId="0" borderId="0" xfId="3" applyFont="1" applyFill="1" applyAlignment="1">
      <alignment horizontal="right" vertical="center" wrapText="1"/>
    </xf>
    <xf numFmtId="166" fontId="23" fillId="0" borderId="0" xfId="3" applyFont="1" applyFill="1" applyBorder="1" applyAlignment="1">
      <alignment horizontal="right" vertical="center" wrapText="1"/>
    </xf>
    <xf numFmtId="44" fontId="49" fillId="3" borderId="0" xfId="11" applyFont="1" applyFill="1" applyAlignment="1">
      <alignment horizontal="right" vertical="center" wrapText="1"/>
    </xf>
    <xf numFmtId="0" fontId="0" fillId="0" borderId="0" xfId="0" applyFont="1" applyFill="1" applyBorder="1" applyAlignment="1">
      <alignment horizontal="center" vertical="center" wrapText="1"/>
    </xf>
    <xf numFmtId="175" fontId="15" fillId="3" borderId="1" xfId="7" applyNumberFormat="1" applyFont="1" applyFill="1" applyBorder="1" applyAlignment="1">
      <alignment horizontal="center" vertical="center"/>
    </xf>
    <xf numFmtId="0" fontId="39" fillId="0" borderId="1" xfId="0" applyFont="1" applyBorder="1" applyAlignment="1">
      <alignment horizontal="center" vertical="center" wrapText="1"/>
    </xf>
    <xf numFmtId="44" fontId="0" fillId="0" borderId="0" xfId="0" applyNumberFormat="1" applyFont="1" applyAlignment="1">
      <alignment horizontal="center" vertical="center" wrapText="1"/>
    </xf>
    <xf numFmtId="0" fontId="0" fillId="11" borderId="0" xfId="0" applyFill="1"/>
    <xf numFmtId="0" fontId="39" fillId="3" borderId="0" xfId="0" applyFont="1" applyFill="1" applyAlignment="1">
      <alignment horizontal="center" vertical="center" wrapText="1"/>
    </xf>
    <xf numFmtId="44" fontId="24" fillId="3" borderId="0" xfId="0" applyNumberFormat="1" applyFont="1" applyFill="1"/>
    <xf numFmtId="166" fontId="54" fillId="0" borderId="0" xfId="3" applyFont="1" applyFill="1" applyAlignment="1">
      <alignment horizontal="center" vertical="center" wrapText="1"/>
    </xf>
    <xf numFmtId="173" fontId="54" fillId="0" borderId="0" xfId="0" applyNumberFormat="1" applyFont="1" applyFill="1" applyAlignment="1">
      <alignment horizontal="center" vertical="center" wrapText="1"/>
    </xf>
    <xf numFmtId="44" fontId="56" fillId="0" borderId="0" xfId="11" applyFont="1" applyFill="1" applyAlignment="1">
      <alignment horizontal="right" vertical="center" wrapText="1"/>
    </xf>
    <xf numFmtId="44" fontId="54" fillId="0" borderId="0" xfId="0" applyNumberFormat="1" applyFont="1" applyFill="1" applyAlignment="1">
      <alignment horizontal="center" vertical="center"/>
    </xf>
    <xf numFmtId="0" fontId="55" fillId="3" borderId="0" xfId="0" applyFont="1" applyFill="1" applyAlignment="1">
      <alignment horizontal="center"/>
    </xf>
    <xf numFmtId="171" fontId="0" fillId="0" borderId="0" xfId="0" applyNumberFormat="1" applyFont="1" applyFill="1" applyBorder="1" applyAlignment="1">
      <alignment horizontal="center" vertical="center" wrapText="1"/>
    </xf>
    <xf numFmtId="14" fontId="30" fillId="3" borderId="0" xfId="0" applyNumberFormat="1" applyFont="1" applyFill="1" applyBorder="1" applyAlignment="1">
      <alignment horizontal="center" vertical="center" wrapText="1"/>
    </xf>
    <xf numFmtId="0" fontId="64" fillId="0" borderId="0" xfId="3" applyNumberFormat="1" applyFont="1" applyAlignment="1">
      <alignment horizontal="left" wrapText="1"/>
    </xf>
    <xf numFmtId="0" fontId="65" fillId="0" borderId="0" xfId="0" applyFont="1" applyFill="1" applyBorder="1" applyAlignment="1">
      <alignment horizontal="center" vertical="center" wrapText="1"/>
    </xf>
    <xf numFmtId="0" fontId="65" fillId="0" borderId="0" xfId="0" applyFont="1" applyFill="1" applyAlignment="1">
      <alignment horizontal="center"/>
    </xf>
    <xf numFmtId="0" fontId="65" fillId="0" borderId="0" xfId="0" applyFont="1" applyFill="1" applyAlignment="1">
      <alignment horizontal="center" vertical="center" wrapText="1"/>
    </xf>
    <xf numFmtId="165" fontId="21" fillId="3" borderId="1" xfId="7" applyFont="1" applyFill="1" applyBorder="1" applyAlignment="1">
      <alignment horizontal="center" vertical="center" wrapText="1" readingOrder="1"/>
    </xf>
    <xf numFmtId="165" fontId="21" fillId="11" borderId="1" xfId="7" applyFont="1" applyFill="1" applyBorder="1" applyAlignment="1">
      <alignment horizontal="center" vertical="center" wrapText="1" readingOrder="1"/>
    </xf>
    <xf numFmtId="0" fontId="53" fillId="0" borderId="18" xfId="0" applyFont="1" applyBorder="1" applyAlignment="1"/>
    <xf numFmtId="0" fontId="53" fillId="16" borderId="1" xfId="0" applyFont="1" applyFill="1" applyBorder="1" applyAlignment="1">
      <alignment horizontal="center" vertical="center"/>
    </xf>
    <xf numFmtId="168" fontId="55" fillId="16" borderId="1" xfId="0" applyNumberFormat="1" applyFont="1" applyFill="1" applyBorder="1" applyAlignment="1">
      <alignment vertical="center"/>
    </xf>
    <xf numFmtId="168" fontId="55" fillId="16" borderId="1" xfId="0" applyNumberFormat="1" applyFont="1" applyFill="1" applyBorder="1"/>
    <xf numFmtId="0" fontId="27" fillId="11" borderId="0" xfId="0" applyFont="1" applyFill="1" applyBorder="1" applyAlignment="1">
      <alignment vertical="center"/>
    </xf>
    <xf numFmtId="0" fontId="57" fillId="11" borderId="0" xfId="0" applyFont="1" applyFill="1" applyBorder="1" applyAlignment="1">
      <alignment horizontal="center" vertical="center"/>
    </xf>
    <xf numFmtId="0" fontId="27" fillId="11" borderId="0" xfId="0" applyFont="1" applyFill="1" applyAlignment="1">
      <alignment vertical="center"/>
    </xf>
    <xf numFmtId="44" fontId="27" fillId="11" borderId="0" xfId="0" applyNumberFormat="1" applyFont="1" applyFill="1" applyAlignment="1">
      <alignment vertical="center"/>
    </xf>
    <xf numFmtId="173" fontId="27" fillId="11" borderId="0" xfId="0" applyNumberFormat="1" applyFont="1" applyFill="1" applyAlignment="1">
      <alignment vertical="center"/>
    </xf>
    <xf numFmtId="165" fontId="0" fillId="3" borderId="0" xfId="7" applyFont="1" applyFill="1"/>
    <xf numFmtId="165" fontId="21" fillId="3" borderId="1" xfId="7" applyFont="1" applyFill="1" applyBorder="1" applyAlignment="1">
      <alignment horizontal="center" vertical="center" wrapText="1"/>
    </xf>
    <xf numFmtId="165" fontId="53" fillId="0" borderId="1" xfId="7" applyFont="1" applyBorder="1" applyAlignment="1">
      <alignment horizontal="center" vertical="center"/>
    </xf>
    <xf numFmtId="165" fontId="0" fillId="0" borderId="1" xfId="7" applyFont="1" applyBorder="1" applyAlignment="1">
      <alignment horizontal="center" vertical="center"/>
    </xf>
    <xf numFmtId="165" fontId="0" fillId="0" borderId="0" xfId="7" applyFont="1" applyAlignment="1">
      <alignment horizontal="center" vertical="center"/>
    </xf>
    <xf numFmtId="165" fontId="39" fillId="3" borderId="0" xfId="7" applyFont="1" applyFill="1" applyAlignment="1">
      <alignment horizontal="center"/>
    </xf>
    <xf numFmtId="165" fontId="7" fillId="3" borderId="1" xfId="7" applyFont="1" applyFill="1" applyBorder="1" applyAlignment="1">
      <alignment horizontal="center" vertical="center" wrapText="1"/>
    </xf>
    <xf numFmtId="175" fontId="66" fillId="3" borderId="1" xfId="7" applyNumberFormat="1" applyFont="1" applyFill="1" applyBorder="1" applyAlignment="1">
      <alignment horizontal="center" vertical="center" wrapText="1"/>
    </xf>
    <xf numFmtId="175" fontId="52" fillId="11" borderId="1" xfId="7" applyNumberFormat="1" applyFont="1" applyFill="1" applyBorder="1" applyAlignment="1">
      <alignment horizontal="left" vertical="center" wrapText="1" readingOrder="1"/>
    </xf>
    <xf numFmtId="175" fontId="52" fillId="3" borderId="1" xfId="7" applyNumberFormat="1" applyFont="1" applyFill="1" applyBorder="1" applyAlignment="1">
      <alignment horizontal="left" vertical="center" wrapText="1" readingOrder="1"/>
    </xf>
    <xf numFmtId="175" fontId="0" fillId="0" borderId="1" xfId="7" applyNumberFormat="1" applyFont="1" applyBorder="1" applyAlignment="1">
      <alignment horizontal="center" vertical="center"/>
    </xf>
    <xf numFmtId="165" fontId="39" fillId="3" borderId="1" xfId="7" applyFont="1" applyFill="1" applyBorder="1" applyAlignment="1">
      <alignment horizontal="center"/>
    </xf>
    <xf numFmtId="0" fontId="21" fillId="11" borderId="12" xfId="14" applyNumberFormat="1" applyFont="1" applyFill="1" applyBorder="1" applyAlignment="1">
      <alignment horizontal="center" vertical="center" wrapText="1" readingOrder="1"/>
    </xf>
    <xf numFmtId="175" fontId="38" fillId="11" borderId="12" xfId="7" applyNumberFormat="1" applyFont="1" applyFill="1" applyBorder="1" applyAlignment="1">
      <alignment horizontal="left" vertical="center" wrapText="1" readingOrder="1"/>
    </xf>
    <xf numFmtId="176" fontId="4" fillId="0" borderId="0" xfId="14" applyNumberFormat="1" applyFont="1" applyFill="1" applyBorder="1"/>
    <xf numFmtId="0" fontId="13" fillId="3" borderId="0" xfId="14" applyFont="1" applyFill="1" applyBorder="1"/>
    <xf numFmtId="0" fontId="4" fillId="0" borderId="0" xfId="14" applyFont="1" applyFill="1" applyBorder="1" applyAlignment="1">
      <alignment horizontal="center" vertical="center"/>
    </xf>
    <xf numFmtId="0" fontId="4" fillId="0" borderId="1" xfId="14" applyFont="1" applyFill="1" applyBorder="1" applyAlignment="1">
      <alignment horizontal="center" vertical="center" wrapText="1"/>
    </xf>
    <xf numFmtId="0" fontId="4" fillId="3" borderId="0" xfId="14" applyFont="1" applyFill="1" applyBorder="1" applyAlignment="1">
      <alignment horizontal="center" vertical="center"/>
    </xf>
    <xf numFmtId="175" fontId="15" fillId="0" borderId="0" xfId="7" applyNumberFormat="1" applyFont="1" applyFill="1" applyBorder="1" applyAlignment="1">
      <alignment horizontal="center" vertical="center"/>
    </xf>
    <xf numFmtId="0" fontId="15" fillId="0" borderId="0" xfId="14" applyFont="1" applyFill="1" applyBorder="1"/>
    <xf numFmtId="0" fontId="68" fillId="0" borderId="0" xfId="14" applyFont="1" applyFill="1" applyBorder="1" applyAlignment="1">
      <alignment horizontal="center" vertical="center"/>
    </xf>
    <xf numFmtId="176" fontId="13" fillId="3" borderId="0" xfId="14" applyNumberFormat="1" applyFont="1" applyFill="1" applyBorder="1"/>
    <xf numFmtId="39" fontId="69" fillId="0" borderId="0" xfId="14" applyNumberFormat="1" applyFont="1" applyFill="1" applyBorder="1" applyAlignment="1"/>
    <xf numFmtId="177" fontId="4" fillId="0" borderId="0" xfId="14" applyNumberFormat="1" applyFont="1" applyFill="1" applyBorder="1" applyAlignment="1"/>
    <xf numFmtId="0" fontId="4" fillId="4" borderId="0" xfId="14" applyFont="1" applyFill="1" applyBorder="1" applyAlignment="1"/>
    <xf numFmtId="0" fontId="4" fillId="0" borderId="0" xfId="14" applyFont="1" applyFill="1" applyBorder="1" applyAlignment="1">
      <alignment horizontal="center"/>
    </xf>
    <xf numFmtId="176" fontId="4" fillId="3" borderId="0" xfId="14" applyNumberFormat="1" applyFont="1" applyFill="1" applyBorder="1" applyAlignment="1">
      <alignment horizontal="center" vertical="center"/>
    </xf>
    <xf numFmtId="0" fontId="45" fillId="12" borderId="0" xfId="14" applyNumberFormat="1" applyFont="1" applyFill="1" applyBorder="1" applyAlignment="1">
      <alignment horizontal="center" vertical="center" wrapText="1" readingOrder="1"/>
    </xf>
    <xf numFmtId="0" fontId="35" fillId="12" borderId="7" xfId="14" applyNumberFormat="1" applyFont="1" applyFill="1" applyBorder="1" applyAlignment="1">
      <alignment vertical="center" wrapText="1" readingOrder="1"/>
    </xf>
    <xf numFmtId="0" fontId="8" fillId="4" borderId="7" xfId="14" applyNumberFormat="1" applyFont="1" applyFill="1" applyBorder="1" applyAlignment="1">
      <alignment vertical="center" wrapText="1" readingOrder="1"/>
    </xf>
    <xf numFmtId="0" fontId="70" fillId="4" borderId="0" xfId="14" applyFont="1" applyFill="1" applyBorder="1" applyAlignment="1">
      <alignment vertical="center" wrapText="1"/>
    </xf>
    <xf numFmtId="0" fontId="70" fillId="12" borderId="0" xfId="14" applyFont="1" applyFill="1" applyBorder="1" applyAlignment="1">
      <alignment vertical="center" wrapText="1"/>
    </xf>
    <xf numFmtId="0" fontId="35" fillId="12" borderId="12" xfId="14" applyNumberFormat="1" applyFont="1" applyFill="1" applyBorder="1" applyAlignment="1">
      <alignment vertical="center" wrapText="1" readingOrder="1"/>
    </xf>
    <xf numFmtId="0" fontId="72" fillId="13" borderId="0" xfId="14" applyFont="1" applyFill="1" applyBorder="1"/>
    <xf numFmtId="0" fontId="70" fillId="12" borderId="0" xfId="14" applyFont="1" applyFill="1" applyBorder="1"/>
    <xf numFmtId="0" fontId="70" fillId="12" borderId="0" xfId="14" applyFont="1" applyFill="1" applyBorder="1" applyAlignment="1">
      <alignment horizontal="center" vertical="center"/>
    </xf>
    <xf numFmtId="0" fontId="73" fillId="12" borderId="0" xfId="14" applyFont="1" applyFill="1" applyBorder="1"/>
    <xf numFmtId="0" fontId="73" fillId="12" borderId="1" xfId="14" applyFont="1" applyFill="1" applyBorder="1" applyAlignment="1">
      <alignment horizontal="center" vertical="center" wrapText="1"/>
    </xf>
    <xf numFmtId="175" fontId="75" fillId="4" borderId="0" xfId="7" applyNumberFormat="1" applyFont="1" applyFill="1" applyBorder="1" applyAlignment="1">
      <alignment horizontal="center" vertical="center"/>
    </xf>
    <xf numFmtId="175" fontId="76" fillId="11" borderId="0" xfId="14" applyNumberFormat="1" applyFont="1" applyFill="1" applyBorder="1"/>
    <xf numFmtId="0" fontId="76" fillId="11" borderId="0" xfId="14" applyFont="1" applyFill="1" applyBorder="1"/>
    <xf numFmtId="0" fontId="35" fillId="12" borderId="13" xfId="14" applyNumberFormat="1" applyFont="1" applyFill="1" applyBorder="1" applyAlignment="1">
      <alignment horizontal="center" vertical="center" wrapText="1" readingOrder="1"/>
    </xf>
    <xf numFmtId="0" fontId="77" fillId="4" borderId="1" xfId="14" applyFont="1" applyFill="1" applyBorder="1" applyAlignment="1">
      <alignment vertical="center" wrapText="1"/>
    </xf>
    <xf numFmtId="0" fontId="70" fillId="12" borderId="1" xfId="14" applyFont="1" applyFill="1" applyBorder="1" applyAlignment="1">
      <alignment vertical="center" wrapText="1"/>
    </xf>
    <xf numFmtId="0" fontId="71" fillId="13" borderId="6" xfId="14" applyNumberFormat="1" applyFont="1" applyFill="1" applyBorder="1" applyAlignment="1">
      <alignment horizontal="center" vertical="center" wrapText="1" readingOrder="1"/>
    </xf>
    <xf numFmtId="0" fontId="71" fillId="13" borderId="13" xfId="14" applyNumberFormat="1" applyFont="1" applyFill="1" applyBorder="1" applyAlignment="1">
      <alignment horizontal="center" vertical="center" wrapText="1" readingOrder="1"/>
    </xf>
    <xf numFmtId="0" fontId="72" fillId="13" borderId="13" xfId="14" applyFont="1" applyFill="1" applyBorder="1" applyAlignment="1">
      <alignment horizontal="center" vertical="center" wrapText="1"/>
    </xf>
    <xf numFmtId="0" fontId="72" fillId="8" borderId="13" xfId="14" applyFont="1" applyFill="1" applyBorder="1" applyAlignment="1">
      <alignment horizontal="center" vertical="center" wrapText="1"/>
    </xf>
    <xf numFmtId="0" fontId="78" fillId="12" borderId="1" xfId="14" applyFont="1" applyFill="1" applyBorder="1" applyAlignment="1">
      <alignment horizontal="center" vertical="center" wrapText="1"/>
    </xf>
    <xf numFmtId="0" fontId="67" fillId="12" borderId="6" xfId="0" applyFont="1" applyFill="1" applyBorder="1" applyAlignment="1">
      <alignment horizontal="center" vertical="center" wrapText="1"/>
    </xf>
    <xf numFmtId="0" fontId="67" fillId="12" borderId="1" xfId="0" applyFont="1" applyFill="1" applyBorder="1" applyAlignment="1">
      <alignment horizontal="center" vertical="center" wrapText="1"/>
    </xf>
    <xf numFmtId="0" fontId="79" fillId="12" borderId="0" xfId="14" applyFont="1" applyFill="1" applyBorder="1" applyAlignment="1">
      <alignment horizontal="center" vertical="center"/>
    </xf>
    <xf numFmtId="0" fontId="80" fillId="3" borderId="6" xfId="0" applyFont="1" applyFill="1" applyBorder="1" applyAlignment="1">
      <alignment horizontal="center" vertical="center" wrapText="1"/>
    </xf>
    <xf numFmtId="0" fontId="5" fillId="4" borderId="1" xfId="14" applyFont="1" applyFill="1" applyBorder="1" applyAlignment="1">
      <alignment horizontal="center" vertical="center" wrapText="1"/>
    </xf>
    <xf numFmtId="0" fontId="9" fillId="6" borderId="21" xfId="14" applyNumberFormat="1" applyFont="1" applyFill="1" applyBorder="1" applyAlignment="1">
      <alignment horizontal="center" vertical="center" wrapText="1" readingOrder="1"/>
    </xf>
    <xf numFmtId="0" fontId="9" fillId="3" borderId="1" xfId="14" applyNumberFormat="1" applyFont="1" applyFill="1" applyBorder="1" applyAlignment="1">
      <alignment horizontal="center" vertical="center" wrapText="1" readingOrder="1"/>
    </xf>
    <xf numFmtId="0" fontId="38" fillId="3" borderId="1" xfId="14" applyNumberFormat="1" applyFont="1" applyFill="1" applyBorder="1" applyAlignment="1">
      <alignment vertical="center" wrapText="1" readingOrder="1"/>
    </xf>
    <xf numFmtId="39" fontId="18" fillId="3" borderId="1" xfId="14" applyNumberFormat="1" applyFont="1" applyFill="1" applyBorder="1" applyAlignment="1">
      <alignment horizontal="right" vertical="top" wrapText="1" readingOrder="1"/>
    </xf>
    <xf numFmtId="39" fontId="18" fillId="3" borderId="1" xfId="14" applyNumberFormat="1" applyFont="1" applyFill="1" applyBorder="1" applyAlignment="1">
      <alignment horizontal="center" vertical="center" wrapText="1" readingOrder="1"/>
    </xf>
    <xf numFmtId="39" fontId="18" fillId="4" borderId="1" xfId="14" applyNumberFormat="1" applyFont="1" applyFill="1" applyBorder="1" applyAlignment="1">
      <alignment horizontal="right" vertical="center"/>
    </xf>
    <xf numFmtId="39" fontId="7" fillId="3" borderId="1" xfId="14" applyNumberFormat="1" applyFont="1" applyFill="1" applyBorder="1" applyAlignment="1">
      <alignment horizontal="right" vertical="center"/>
    </xf>
    <xf numFmtId="39" fontId="7" fillId="3" borderId="1" xfId="14" applyNumberFormat="1" applyFont="1" applyFill="1" applyBorder="1" applyAlignment="1">
      <alignment horizontal="right" vertical="center" wrapText="1" readingOrder="1"/>
    </xf>
    <xf numFmtId="39" fontId="7" fillId="3" borderId="1" xfId="14" applyNumberFormat="1" applyFont="1" applyFill="1" applyBorder="1" applyAlignment="1">
      <alignment horizontal="center" vertical="center" wrapText="1" readingOrder="1"/>
    </xf>
    <xf numFmtId="39" fontId="81" fillId="3" borderId="1" xfId="14" applyNumberFormat="1" applyFont="1" applyFill="1" applyBorder="1" applyAlignment="1">
      <alignment horizontal="right" vertical="center"/>
    </xf>
    <xf numFmtId="10" fontId="18" fillId="3" borderId="1" xfId="17" applyNumberFormat="1" applyFont="1" applyFill="1" applyBorder="1" applyAlignment="1">
      <alignment horizontal="center" vertical="center"/>
    </xf>
    <xf numFmtId="39" fontId="18" fillId="17" borderId="1" xfId="14" applyNumberFormat="1" applyFont="1" applyFill="1" applyBorder="1" applyAlignment="1">
      <alignment horizontal="right" vertical="center"/>
    </xf>
    <xf numFmtId="39" fontId="18" fillId="17" borderId="1" xfId="14" applyNumberFormat="1" applyFont="1" applyFill="1" applyBorder="1" applyAlignment="1">
      <alignment horizontal="center" vertical="center" wrapText="1"/>
    </xf>
    <xf numFmtId="39" fontId="18" fillId="3" borderId="5" xfId="14" applyNumberFormat="1" applyFont="1" applyFill="1" applyBorder="1" applyAlignment="1">
      <alignment horizontal="right" vertical="center"/>
    </xf>
    <xf numFmtId="10" fontId="18" fillId="0" borderId="1" xfId="14" applyNumberFormat="1" applyFont="1" applyFill="1" applyBorder="1" applyAlignment="1">
      <alignment horizontal="center" vertical="center"/>
    </xf>
    <xf numFmtId="10" fontId="15" fillId="3" borderId="0" xfId="14" applyNumberFormat="1" applyFont="1" applyFill="1" applyBorder="1" applyAlignment="1">
      <alignment horizontal="center" vertical="center"/>
    </xf>
    <xf numFmtId="0" fontId="82" fillId="3" borderId="1" xfId="14" applyFont="1" applyFill="1" applyBorder="1"/>
    <xf numFmtId="10" fontId="4" fillId="3" borderId="8" xfId="14" applyNumberFormat="1" applyFont="1" applyFill="1" applyBorder="1" applyAlignment="1">
      <alignment horizontal="center" vertical="center" wrapText="1"/>
    </xf>
    <xf numFmtId="175" fontId="16" fillId="3" borderId="8" xfId="7" applyNumberFormat="1" applyFont="1" applyFill="1" applyBorder="1" applyAlignment="1">
      <alignment horizontal="center" vertical="center"/>
    </xf>
    <xf numFmtId="175" fontId="83" fillId="3" borderId="8" xfId="7" applyNumberFormat="1" applyFont="1" applyFill="1" applyBorder="1" applyAlignment="1">
      <alignment horizontal="center" vertical="center"/>
    </xf>
    <xf numFmtId="0" fontId="6" fillId="3" borderId="21" xfId="14" applyNumberFormat="1" applyFont="1" applyFill="1" applyBorder="1" applyAlignment="1">
      <alignment horizontal="center" vertical="center" wrapText="1" readingOrder="1"/>
    </xf>
    <xf numFmtId="10" fontId="14" fillId="3" borderId="1" xfId="17" applyNumberFormat="1" applyFont="1" applyFill="1" applyBorder="1" applyAlignment="1">
      <alignment horizontal="center" vertical="center"/>
    </xf>
    <xf numFmtId="10" fontId="15" fillId="3" borderId="0" xfId="17" applyNumberFormat="1" applyFont="1" applyFill="1" applyBorder="1" applyAlignment="1">
      <alignment horizontal="center" vertical="center"/>
    </xf>
    <xf numFmtId="178" fontId="84" fillId="3" borderId="1" xfId="14" applyNumberFormat="1" applyFont="1" applyFill="1" applyBorder="1" applyAlignment="1">
      <alignment horizontal="right" vertical="center" wrapText="1" readingOrder="1"/>
    </xf>
    <xf numFmtId="10" fontId="13" fillId="3" borderId="1" xfId="17" applyNumberFormat="1" applyFont="1" applyFill="1" applyBorder="1" applyAlignment="1">
      <alignment horizontal="center" vertical="center" wrapText="1"/>
    </xf>
    <xf numFmtId="0" fontId="15" fillId="3" borderId="0" xfId="14" applyFont="1" applyFill="1" applyBorder="1"/>
    <xf numFmtId="0" fontId="68" fillId="3" borderId="0" xfId="14" applyFont="1" applyFill="1" applyBorder="1" applyAlignment="1">
      <alignment horizontal="center" vertical="center"/>
    </xf>
    <xf numFmtId="0" fontId="33" fillId="18" borderId="1" xfId="14" applyNumberFormat="1" applyFont="1" applyFill="1" applyBorder="1" applyAlignment="1">
      <alignment horizontal="center" vertical="center" wrapText="1" readingOrder="1"/>
    </xf>
    <xf numFmtId="0" fontId="35" fillId="18" borderId="1" xfId="14" applyNumberFormat="1" applyFont="1" applyFill="1" applyBorder="1" applyAlignment="1">
      <alignment horizontal="left" vertical="center" wrapText="1" readingOrder="1"/>
    </xf>
    <xf numFmtId="39" fontId="33" fillId="18" borderId="1" xfId="14" applyNumberFormat="1" applyFont="1" applyFill="1" applyBorder="1" applyAlignment="1">
      <alignment horizontal="right" vertical="center" wrapText="1" readingOrder="1"/>
    </xf>
    <xf numFmtId="39" fontId="40" fillId="18" borderId="1" xfId="14" applyNumberFormat="1" applyFont="1" applyFill="1" applyBorder="1" applyAlignment="1">
      <alignment horizontal="right" vertical="center" wrapText="1" readingOrder="1"/>
    </xf>
    <xf numFmtId="39" fontId="40" fillId="18" borderId="1" xfId="14" applyNumberFormat="1" applyFont="1" applyFill="1" applyBorder="1" applyAlignment="1">
      <alignment horizontal="right" vertical="top" wrapText="1" readingOrder="1"/>
    </xf>
    <xf numFmtId="39" fontId="18" fillId="4" borderId="1" xfId="14" applyNumberFormat="1" applyFont="1" applyFill="1" applyBorder="1" applyAlignment="1">
      <alignment horizontal="right" vertical="center" wrapText="1" readingOrder="1"/>
    </xf>
    <xf numFmtId="39" fontId="85" fillId="18" borderId="1" xfId="14" applyNumberFormat="1" applyFont="1" applyFill="1" applyBorder="1" applyAlignment="1">
      <alignment horizontal="right" vertical="center" wrapText="1" readingOrder="1"/>
    </xf>
    <xf numFmtId="10" fontId="40" fillId="19" borderId="1" xfId="17" applyNumberFormat="1" applyFont="1" applyFill="1" applyBorder="1" applyAlignment="1">
      <alignment horizontal="center" vertical="center"/>
    </xf>
    <xf numFmtId="39" fontId="40" fillId="19" borderId="1" xfId="14" applyNumberFormat="1" applyFont="1" applyFill="1" applyBorder="1" applyAlignment="1">
      <alignment horizontal="right" vertical="center"/>
    </xf>
    <xf numFmtId="39" fontId="40" fillId="19" borderId="1" xfId="14" applyNumberFormat="1" applyFont="1" applyFill="1" applyBorder="1" applyAlignment="1">
      <alignment horizontal="center" vertical="center" wrapText="1"/>
    </xf>
    <xf numFmtId="39" fontId="40" fillId="19" borderId="5" xfId="14" applyNumberFormat="1" applyFont="1" applyFill="1" applyBorder="1" applyAlignment="1">
      <alignment horizontal="right" vertical="center"/>
    </xf>
    <xf numFmtId="10" fontId="40" fillId="19" borderId="1" xfId="14" applyNumberFormat="1" applyFont="1" applyFill="1" applyBorder="1" applyAlignment="1">
      <alignment horizontal="center" vertical="center"/>
    </xf>
    <xf numFmtId="10" fontId="78" fillId="3" borderId="0" xfId="14" applyNumberFormat="1" applyFont="1" applyFill="1" applyBorder="1" applyAlignment="1">
      <alignment horizontal="center" vertical="center"/>
    </xf>
    <xf numFmtId="0" fontId="82" fillId="19" borderId="1" xfId="14" applyFont="1" applyFill="1" applyBorder="1"/>
    <xf numFmtId="10" fontId="13" fillId="19" borderId="1" xfId="17" applyNumberFormat="1" applyFont="1" applyFill="1" applyBorder="1" applyAlignment="1">
      <alignment horizontal="center" vertical="center" wrapText="1"/>
    </xf>
    <xf numFmtId="175" fontId="16" fillId="19" borderId="1" xfId="7" applyNumberFormat="1" applyFont="1" applyFill="1" applyBorder="1" applyAlignment="1">
      <alignment horizontal="center" vertical="center"/>
    </xf>
    <xf numFmtId="0" fontId="86" fillId="3" borderId="21" xfId="14" applyNumberFormat="1" applyFont="1" applyFill="1" applyBorder="1" applyAlignment="1">
      <alignment horizontal="center" vertical="center" wrapText="1" readingOrder="1"/>
    </xf>
    <xf numFmtId="0" fontId="87" fillId="18" borderId="1" xfId="14" applyNumberFormat="1" applyFont="1" applyFill="1" applyBorder="1" applyAlignment="1">
      <alignment horizontal="center" vertical="center" wrapText="1" readingOrder="1"/>
    </xf>
    <xf numFmtId="39" fontId="87" fillId="18" borderId="1" xfId="14" applyNumberFormat="1" applyFont="1" applyFill="1" applyBorder="1" applyAlignment="1">
      <alignment horizontal="right" vertical="center" wrapText="1" readingOrder="1"/>
    </xf>
    <xf numFmtId="39" fontId="85" fillId="18" borderId="1" xfId="14" applyNumberFormat="1" applyFont="1" applyFill="1" applyBorder="1" applyAlignment="1">
      <alignment horizontal="right" vertical="center"/>
    </xf>
    <xf numFmtId="39" fontId="40" fillId="18" borderId="1" xfId="14" applyNumberFormat="1" applyFont="1" applyFill="1" applyBorder="1" applyAlignment="1">
      <alignment horizontal="right" vertical="center"/>
    </xf>
    <xf numFmtId="10" fontId="88" fillId="3" borderId="0" xfId="14" applyNumberFormat="1" applyFont="1" applyFill="1" applyBorder="1" applyAlignment="1">
      <alignment horizontal="center" vertical="center"/>
    </xf>
    <xf numFmtId="0" fontId="6" fillId="0" borderId="21" xfId="14" applyNumberFormat="1" applyFont="1" applyFill="1" applyBorder="1" applyAlignment="1">
      <alignment horizontal="center" vertical="center" wrapText="1" readingOrder="1"/>
    </xf>
    <xf numFmtId="0" fontId="6" fillId="0" borderId="1" xfId="14" applyNumberFormat="1" applyFont="1" applyFill="1" applyBorder="1" applyAlignment="1">
      <alignment horizontal="center" vertical="center" wrapText="1" readingOrder="1"/>
    </xf>
    <xf numFmtId="49" fontId="6" fillId="0" borderId="1" xfId="14" applyNumberFormat="1" applyFont="1" applyFill="1" applyBorder="1" applyAlignment="1">
      <alignment horizontal="center" vertical="center" wrapText="1" readingOrder="1"/>
    </xf>
    <xf numFmtId="39" fontId="6" fillId="20" borderId="1" xfId="14" applyNumberFormat="1" applyFont="1" applyFill="1" applyBorder="1" applyAlignment="1">
      <alignment horizontal="right" vertical="center" wrapText="1" readingOrder="1"/>
    </xf>
    <xf numFmtId="39" fontId="18" fillId="0" borderId="1" xfId="14" applyNumberFormat="1" applyFont="1" applyFill="1" applyBorder="1" applyAlignment="1">
      <alignment horizontal="right" vertical="center" wrapText="1" readingOrder="1"/>
    </xf>
    <xf numFmtId="0" fontId="7" fillId="3" borderId="1" xfId="14" applyNumberFormat="1" applyFont="1" applyFill="1" applyBorder="1" applyAlignment="1">
      <alignment horizontal="right" vertical="center" wrapText="1" readingOrder="1"/>
    </xf>
    <xf numFmtId="175" fontId="83" fillId="3" borderId="1" xfId="7" applyNumberFormat="1" applyFont="1" applyFill="1" applyBorder="1" applyAlignment="1">
      <alignment horizontal="center" vertical="center"/>
    </xf>
    <xf numFmtId="49" fontId="33" fillId="18" borderId="1" xfId="14" applyNumberFormat="1" applyFont="1" applyFill="1" applyBorder="1" applyAlignment="1">
      <alignment horizontal="center" vertical="center" wrapText="1" readingOrder="1"/>
    </xf>
    <xf numFmtId="39" fontId="85" fillId="4" borderId="1" xfId="14" applyNumberFormat="1" applyFont="1" applyFill="1" applyBorder="1" applyAlignment="1">
      <alignment horizontal="right" vertical="center" wrapText="1" readingOrder="1"/>
    </xf>
    <xf numFmtId="0" fontId="85" fillId="18" borderId="1" xfId="14" applyNumberFormat="1" applyFont="1" applyFill="1" applyBorder="1" applyAlignment="1">
      <alignment horizontal="right" vertical="center" wrapText="1" readingOrder="1"/>
    </xf>
    <xf numFmtId="10" fontId="40" fillId="18" borderId="1" xfId="17" applyNumberFormat="1" applyFont="1" applyFill="1" applyBorder="1" applyAlignment="1">
      <alignment horizontal="center" vertical="center"/>
    </xf>
    <xf numFmtId="39" fontId="41" fillId="18" borderId="12" xfId="14" applyNumberFormat="1" applyFont="1" applyFill="1" applyBorder="1" applyAlignment="1">
      <alignment horizontal="right" vertical="center"/>
    </xf>
    <xf numFmtId="39" fontId="41" fillId="18" borderId="1" xfId="14" applyNumberFormat="1" applyFont="1" applyFill="1" applyBorder="1" applyAlignment="1">
      <alignment horizontal="center" vertical="center" wrapText="1"/>
    </xf>
    <xf numFmtId="39" fontId="40" fillId="18" borderId="0" xfId="14" applyNumberFormat="1" applyFont="1" applyFill="1" applyBorder="1" applyAlignment="1">
      <alignment horizontal="right" vertical="center"/>
    </xf>
    <xf numFmtId="0" fontId="34" fillId="19" borderId="1" xfId="14" applyFont="1" applyFill="1" applyBorder="1" applyAlignment="1">
      <alignment horizontal="center" vertical="center" wrapText="1"/>
    </xf>
    <xf numFmtId="0" fontId="1" fillId="0" borderId="1" xfId="14" applyNumberFormat="1" applyFont="1" applyFill="1" applyBorder="1" applyAlignment="1">
      <alignment horizontal="left" vertical="center" wrapText="1" readingOrder="1"/>
    </xf>
    <xf numFmtId="39" fontId="18" fillId="3" borderId="1" xfId="14" applyNumberFormat="1" applyFont="1" applyFill="1" applyBorder="1" applyAlignment="1">
      <alignment horizontal="center" vertical="center"/>
    </xf>
    <xf numFmtId="39" fontId="14" fillId="3" borderId="13" xfId="14" applyNumberFormat="1" applyFont="1" applyFill="1" applyBorder="1" applyAlignment="1">
      <alignment horizontal="right" vertical="center"/>
    </xf>
    <xf numFmtId="39" fontId="14" fillId="6" borderId="1" xfId="14" applyNumberFormat="1" applyFont="1" applyFill="1" applyBorder="1" applyAlignment="1">
      <alignment horizontal="center" vertical="center" wrapText="1"/>
    </xf>
    <xf numFmtId="39" fontId="18" fillId="3" borderId="0" xfId="14" applyNumberFormat="1" applyFont="1" applyFill="1" applyBorder="1" applyAlignment="1">
      <alignment horizontal="right" vertical="center"/>
    </xf>
    <xf numFmtId="0" fontId="18" fillId="0" borderId="1" xfId="14" applyFont="1" applyFill="1" applyBorder="1" applyAlignment="1">
      <alignment horizontal="center" vertical="center"/>
    </xf>
    <xf numFmtId="0" fontId="15" fillId="3" borderId="0" xfId="14" applyFont="1" applyFill="1" applyBorder="1" applyAlignment="1">
      <alignment horizontal="center" vertical="center"/>
    </xf>
    <xf numFmtId="0" fontId="82" fillId="0" borderId="1" xfId="14" applyFont="1" applyFill="1" applyBorder="1"/>
    <xf numFmtId="0" fontId="13" fillId="3" borderId="1" xfId="14" applyFont="1" applyFill="1" applyBorder="1" applyAlignment="1">
      <alignment horizontal="center" vertical="center" wrapText="1"/>
    </xf>
    <xf numFmtId="0" fontId="9" fillId="5" borderId="22" xfId="14" applyNumberFormat="1" applyFont="1" applyFill="1" applyBorder="1" applyAlignment="1">
      <alignment horizontal="center" vertical="center" wrapText="1" readingOrder="1"/>
    </xf>
    <xf numFmtId="0" fontId="9" fillId="5" borderId="23" xfId="14" applyNumberFormat="1" applyFont="1" applyFill="1" applyBorder="1" applyAlignment="1">
      <alignment horizontal="center" vertical="center" wrapText="1" readingOrder="1"/>
    </xf>
    <xf numFmtId="0" fontId="1" fillId="5" borderId="23" xfId="14" applyNumberFormat="1" applyFont="1" applyFill="1" applyBorder="1" applyAlignment="1">
      <alignment horizontal="left" vertical="center" wrapText="1" readingOrder="1"/>
    </xf>
    <xf numFmtId="39" fontId="6" fillId="5" borderId="23" xfId="14" applyNumberFormat="1" applyFont="1" applyFill="1" applyBorder="1" applyAlignment="1">
      <alignment horizontal="right" vertical="center" wrapText="1" readingOrder="1"/>
    </xf>
    <xf numFmtId="39" fontId="6" fillId="5" borderId="24" xfId="14" applyNumberFormat="1" applyFont="1" applyFill="1" applyBorder="1" applyAlignment="1">
      <alignment horizontal="right" vertical="center" wrapText="1" readingOrder="1"/>
    </xf>
    <xf numFmtId="39" fontId="14" fillId="5" borderId="23" xfId="14" applyNumberFormat="1" applyFont="1" applyFill="1" applyBorder="1" applyAlignment="1">
      <alignment horizontal="right" vertical="center" wrapText="1" readingOrder="1"/>
    </xf>
    <xf numFmtId="39" fontId="14" fillId="5" borderId="25" xfId="14" applyNumberFormat="1" applyFont="1" applyFill="1" applyBorder="1" applyAlignment="1">
      <alignment horizontal="right" vertical="center" wrapText="1" readingOrder="1"/>
    </xf>
    <xf numFmtId="39" fontId="14" fillId="4" borderId="25" xfId="14" applyNumberFormat="1" applyFont="1" applyFill="1" applyBorder="1" applyAlignment="1">
      <alignment horizontal="right" vertical="center" wrapText="1" readingOrder="1"/>
    </xf>
    <xf numFmtId="39" fontId="89" fillId="5" borderId="25" xfId="14" applyNumberFormat="1" applyFont="1" applyFill="1" applyBorder="1" applyAlignment="1">
      <alignment horizontal="right" vertical="center" wrapText="1" readingOrder="1"/>
    </xf>
    <xf numFmtId="39" fontId="14" fillId="18" borderId="26" xfId="14" applyNumberFormat="1" applyFont="1" applyFill="1" applyBorder="1" applyAlignment="1">
      <alignment horizontal="right" vertical="center" wrapText="1" readingOrder="1"/>
    </xf>
    <xf numFmtId="39" fontId="14" fillId="5" borderId="25" xfId="14" applyNumberFormat="1" applyFont="1" applyFill="1" applyBorder="1" applyAlignment="1">
      <alignment horizontal="center" vertical="center" wrapText="1"/>
    </xf>
    <xf numFmtId="39" fontId="14" fillId="5" borderId="27" xfId="14" applyNumberFormat="1" applyFont="1" applyFill="1" applyBorder="1" applyAlignment="1">
      <alignment horizontal="right" vertical="center" wrapText="1" readingOrder="1"/>
    </xf>
    <xf numFmtId="39" fontId="14" fillId="5" borderId="28" xfId="14" applyNumberFormat="1" applyFont="1" applyFill="1" applyBorder="1" applyAlignment="1">
      <alignment horizontal="right" vertical="center" wrapText="1" readingOrder="1"/>
    </xf>
    <xf numFmtId="39" fontId="17" fillId="3" borderId="0" xfId="14" applyNumberFormat="1" applyFont="1" applyFill="1" applyBorder="1" applyAlignment="1">
      <alignment horizontal="center" vertical="center" wrapText="1"/>
    </xf>
    <xf numFmtId="0" fontId="4" fillId="19" borderId="1" xfId="14" applyFont="1" applyFill="1" applyBorder="1" applyAlignment="1">
      <alignment horizontal="center" vertical="center" wrapText="1"/>
    </xf>
    <xf numFmtId="0" fontId="9" fillId="5" borderId="29" xfId="14" applyNumberFormat="1" applyFont="1" applyFill="1" applyBorder="1" applyAlignment="1">
      <alignment horizontal="center" vertical="center" wrapText="1" readingOrder="1"/>
    </xf>
    <xf numFmtId="0" fontId="1" fillId="5" borderId="29" xfId="14" applyNumberFormat="1" applyFont="1" applyFill="1" applyBorder="1" applyAlignment="1">
      <alignment horizontal="left" vertical="center" wrapText="1" readingOrder="1"/>
    </xf>
    <xf numFmtId="39" fontId="6" fillId="5" borderId="29" xfId="14" applyNumberFormat="1" applyFont="1" applyFill="1" applyBorder="1" applyAlignment="1">
      <alignment horizontal="right" vertical="center" wrapText="1" readingOrder="1"/>
    </xf>
    <xf numFmtId="39" fontId="6" fillId="5" borderId="30" xfId="14" applyNumberFormat="1" applyFont="1" applyFill="1" applyBorder="1" applyAlignment="1">
      <alignment horizontal="right" vertical="center" wrapText="1" readingOrder="1"/>
    </xf>
    <xf numFmtId="39" fontId="14" fillId="5" borderId="29" xfId="14" applyNumberFormat="1" applyFont="1" applyFill="1" applyBorder="1" applyAlignment="1">
      <alignment horizontal="right" vertical="center" wrapText="1" readingOrder="1"/>
    </xf>
    <xf numFmtId="39" fontId="14" fillId="5" borderId="31" xfId="14" applyNumberFormat="1" applyFont="1" applyFill="1" applyBorder="1" applyAlignment="1">
      <alignment horizontal="right" vertical="center" wrapText="1" readingOrder="1"/>
    </xf>
    <xf numFmtId="39" fontId="14" fillId="4" borderId="31" xfId="14" applyNumberFormat="1" applyFont="1" applyFill="1" applyBorder="1" applyAlignment="1">
      <alignment horizontal="right" vertical="center" wrapText="1" readingOrder="1"/>
    </xf>
    <xf numFmtId="39" fontId="89" fillId="5" borderId="31" xfId="14" applyNumberFormat="1" applyFont="1" applyFill="1" applyBorder="1" applyAlignment="1">
      <alignment horizontal="right" vertical="center" wrapText="1" readingOrder="1"/>
    </xf>
    <xf numFmtId="39" fontId="14" fillId="5" borderId="31" xfId="14" applyNumberFormat="1" applyFont="1" applyFill="1" applyBorder="1" applyAlignment="1">
      <alignment horizontal="center" vertical="center" wrapText="1"/>
    </xf>
    <xf numFmtId="39" fontId="14" fillId="5" borderId="32" xfId="14" applyNumberFormat="1" applyFont="1" applyFill="1" applyBorder="1" applyAlignment="1">
      <alignment horizontal="right" vertical="center" wrapText="1" readingOrder="1"/>
    </xf>
    <xf numFmtId="39" fontId="19" fillId="4" borderId="1" xfId="14" applyNumberFormat="1" applyFont="1" applyFill="1" applyBorder="1" applyAlignment="1">
      <alignment horizontal="right" vertical="center"/>
    </xf>
    <xf numFmtId="0" fontId="19" fillId="3" borderId="1" xfId="14" applyNumberFormat="1" applyFont="1" applyFill="1" applyBorder="1" applyAlignment="1">
      <alignment horizontal="right" vertical="center" wrapText="1" readingOrder="1"/>
    </xf>
    <xf numFmtId="39" fontId="19" fillId="3" borderId="5" xfId="14" applyNumberFormat="1" applyFont="1" applyFill="1" applyBorder="1" applyAlignment="1">
      <alignment vertical="center" wrapText="1" readingOrder="1"/>
    </xf>
    <xf numFmtId="0" fontId="19" fillId="3" borderId="1" xfId="14" applyFont="1" applyFill="1" applyBorder="1" applyAlignment="1">
      <alignment horizontal="center" vertical="center"/>
    </xf>
    <xf numFmtId="0" fontId="15" fillId="3" borderId="1" xfId="14" applyFont="1" applyFill="1" applyBorder="1"/>
    <xf numFmtId="0" fontId="15" fillId="3" borderId="1" xfId="14" applyFont="1" applyFill="1" applyBorder="1" applyAlignment="1">
      <alignment horizontal="center" vertical="center" wrapText="1"/>
    </xf>
    <xf numFmtId="0" fontId="15" fillId="6" borderId="0" xfId="14" applyFont="1" applyFill="1" applyBorder="1"/>
    <xf numFmtId="0" fontId="68" fillId="6" borderId="0" xfId="14" applyFont="1" applyFill="1" applyBorder="1" applyAlignment="1">
      <alignment horizontal="center" vertical="center"/>
    </xf>
    <xf numFmtId="0" fontId="6" fillId="0" borderId="21" xfId="0" applyNumberFormat="1" applyFont="1" applyFill="1" applyBorder="1" applyAlignment="1">
      <alignment horizontal="center" vertical="center" wrapText="1" readingOrder="1"/>
    </xf>
    <xf numFmtId="0" fontId="6" fillId="3" borderId="1" xfId="0" applyNumberFormat="1" applyFont="1" applyFill="1" applyBorder="1" applyAlignment="1">
      <alignment horizontal="center" vertical="center" wrapText="1" readingOrder="1"/>
    </xf>
    <xf numFmtId="39" fontId="18" fillId="21" borderId="1" xfId="14" applyNumberFormat="1" applyFont="1" applyFill="1" applyBorder="1" applyAlignment="1">
      <alignment horizontal="right" vertical="center" wrapText="1" readingOrder="1"/>
    </xf>
    <xf numFmtId="39" fontId="18" fillId="21" borderId="1" xfId="14" applyNumberFormat="1" applyFont="1" applyFill="1" applyBorder="1" applyAlignment="1">
      <alignment horizontal="right" vertical="top" wrapText="1" readingOrder="1"/>
    </xf>
    <xf numFmtId="39" fontId="19" fillId="3" borderId="1" xfId="14" applyNumberFormat="1" applyFont="1" applyFill="1" applyBorder="1" applyAlignment="1">
      <alignment horizontal="right" vertical="center"/>
    </xf>
    <xf numFmtId="10" fontId="19" fillId="3" borderId="1" xfId="17" applyNumberFormat="1" applyFont="1" applyFill="1" applyBorder="1" applyAlignment="1">
      <alignment horizontal="center" vertical="center"/>
    </xf>
    <xf numFmtId="39" fontId="19" fillId="17" borderId="1" xfId="14" applyNumberFormat="1" applyFont="1" applyFill="1" applyBorder="1" applyAlignment="1">
      <alignment horizontal="right" vertical="center"/>
    </xf>
    <xf numFmtId="39" fontId="19" fillId="17" borderId="1" xfId="14" applyNumberFormat="1" applyFont="1" applyFill="1" applyBorder="1" applyAlignment="1">
      <alignment horizontal="center" vertical="center" wrapText="1"/>
    </xf>
    <xf numFmtId="39" fontId="19" fillId="3" borderId="5" xfId="14" applyNumberFormat="1" applyFont="1" applyFill="1" applyBorder="1" applyAlignment="1">
      <alignment horizontal="right" vertical="center"/>
    </xf>
    <xf numFmtId="10" fontId="19" fillId="0" borderId="1" xfId="14" applyNumberFormat="1" applyFont="1" applyFill="1" applyBorder="1" applyAlignment="1">
      <alignment horizontal="center" vertical="center"/>
    </xf>
    <xf numFmtId="10" fontId="15" fillId="3" borderId="1" xfId="14" applyNumberFormat="1" applyFont="1" applyFill="1" applyBorder="1" applyAlignment="1">
      <alignment horizontal="center" vertical="center" wrapText="1"/>
    </xf>
    <xf numFmtId="0" fontId="15" fillId="3" borderId="1" xfId="14" applyFont="1" applyFill="1" applyBorder="1" applyAlignment="1">
      <alignment wrapText="1"/>
    </xf>
    <xf numFmtId="175" fontId="15" fillId="6" borderId="0" xfId="14" applyNumberFormat="1" applyFont="1" applyFill="1" applyBorder="1"/>
    <xf numFmtId="39" fontId="33" fillId="5" borderId="1" xfId="14" applyNumberFormat="1" applyFont="1" applyFill="1" applyBorder="1" applyAlignment="1">
      <alignment horizontal="right" vertical="center" wrapText="1" readingOrder="1"/>
    </xf>
    <xf numFmtId="39" fontId="40" fillId="5" borderId="1" xfId="14" applyNumberFormat="1" applyFont="1" applyFill="1" applyBorder="1" applyAlignment="1">
      <alignment horizontal="right" vertical="center" wrapText="1" readingOrder="1"/>
    </xf>
    <xf numFmtId="39" fontId="37" fillId="4" borderId="1" xfId="14" applyNumberFormat="1" applyFont="1" applyFill="1" applyBorder="1" applyAlignment="1">
      <alignment horizontal="right" vertical="center" wrapText="1" readingOrder="1"/>
    </xf>
    <xf numFmtId="39" fontId="37" fillId="18" borderId="1" xfId="14" applyNumberFormat="1" applyFont="1" applyFill="1" applyBorder="1" applyAlignment="1">
      <alignment horizontal="right" vertical="center"/>
    </xf>
    <xf numFmtId="10" fontId="37" fillId="18" borderId="1" xfId="17" applyNumberFormat="1" applyFont="1" applyFill="1" applyBorder="1" applyAlignment="1">
      <alignment horizontal="center" vertical="center"/>
    </xf>
    <xf numFmtId="39" fontId="37" fillId="5" borderId="1" xfId="14" applyNumberFormat="1" applyFont="1" applyFill="1" applyBorder="1" applyAlignment="1">
      <alignment horizontal="right" vertical="center"/>
    </xf>
    <xf numFmtId="39" fontId="37" fillId="3" borderId="5" xfId="14" applyNumberFormat="1" applyFont="1" applyFill="1" applyBorder="1" applyAlignment="1">
      <alignment horizontal="right" vertical="center"/>
    </xf>
    <xf numFmtId="10" fontId="37" fillId="19" borderId="1" xfId="14" applyNumberFormat="1" applyFont="1" applyFill="1" applyBorder="1" applyAlignment="1">
      <alignment horizontal="center" vertical="center"/>
    </xf>
    <xf numFmtId="0" fontId="88" fillId="5" borderId="1" xfId="14" applyFont="1" applyFill="1" applyBorder="1"/>
    <xf numFmtId="0" fontId="88" fillId="5" borderId="1" xfId="14" applyFont="1" applyFill="1" applyBorder="1" applyAlignment="1">
      <alignment horizontal="center" vertical="center" wrapText="1"/>
    </xf>
    <xf numFmtId="175" fontId="88" fillId="5" borderId="1" xfId="7" applyNumberFormat="1" applyFont="1" applyFill="1" applyBorder="1" applyAlignment="1">
      <alignment horizontal="center" vertical="center"/>
    </xf>
    <xf numFmtId="0" fontId="88" fillId="5" borderId="0" xfId="14" applyFont="1" applyFill="1" applyBorder="1"/>
    <xf numFmtId="0" fontId="91" fillId="5" borderId="0" xfId="14" applyFont="1" applyFill="1" applyBorder="1" applyAlignment="1">
      <alignment horizontal="center" vertical="center"/>
    </xf>
    <xf numFmtId="0" fontId="15" fillId="6" borderId="1" xfId="14" applyFont="1" applyFill="1" applyBorder="1"/>
    <xf numFmtId="10" fontId="15" fillId="0" borderId="1" xfId="14" applyNumberFormat="1" applyFont="1" applyFill="1" applyBorder="1" applyAlignment="1">
      <alignment horizontal="center" vertical="center" wrapText="1"/>
    </xf>
    <xf numFmtId="10" fontId="37" fillId="22" borderId="1" xfId="17" applyNumberFormat="1" applyFont="1" applyFill="1" applyBorder="1" applyAlignment="1">
      <alignment horizontal="center" vertical="center"/>
    </xf>
    <xf numFmtId="0" fontId="18" fillId="17" borderId="1" xfId="14" applyNumberFormat="1" applyFont="1" applyFill="1" applyBorder="1" applyAlignment="1">
      <alignment vertical="center" wrapText="1" readingOrder="1"/>
    </xf>
    <xf numFmtId="0" fontId="19" fillId="4" borderId="1" xfId="14" applyNumberFormat="1" applyFont="1" applyFill="1" applyBorder="1" applyAlignment="1">
      <alignment vertical="center" wrapText="1" readingOrder="1"/>
    </xf>
    <xf numFmtId="0" fontId="19" fillId="17" borderId="1" xfId="14" applyNumberFormat="1" applyFont="1" applyFill="1" applyBorder="1" applyAlignment="1">
      <alignment vertical="center" wrapText="1" readingOrder="1"/>
    </xf>
    <xf numFmtId="0" fontId="19" fillId="6" borderId="1" xfId="14" applyFont="1" applyFill="1" applyBorder="1" applyAlignment="1">
      <alignment horizontal="center" vertical="center"/>
    </xf>
    <xf numFmtId="0" fontId="6" fillId="17" borderId="21" xfId="14" applyNumberFormat="1" applyFont="1" applyFill="1" applyBorder="1" applyAlignment="1">
      <alignment horizontal="center" vertical="center" wrapText="1" readingOrder="1"/>
    </xf>
    <xf numFmtId="165" fontId="19" fillId="3" borderId="1" xfId="7" applyFont="1" applyFill="1" applyBorder="1" applyAlignment="1">
      <alignment horizontal="right" vertical="center" wrapText="1" readingOrder="1"/>
    </xf>
    <xf numFmtId="165" fontId="19" fillId="3" borderId="1" xfId="7" applyFont="1" applyFill="1" applyBorder="1" applyAlignment="1">
      <alignment horizontal="right" vertical="center"/>
    </xf>
    <xf numFmtId="0" fontId="15" fillId="17" borderId="0" xfId="14" applyFont="1" applyFill="1" applyBorder="1"/>
    <xf numFmtId="0" fontId="13" fillId="17" borderId="0" xfId="14" applyFont="1" applyFill="1" applyBorder="1"/>
    <xf numFmtId="0" fontId="68" fillId="17" borderId="0" xfId="14" applyFont="1" applyFill="1" applyBorder="1" applyAlignment="1">
      <alignment horizontal="center" vertical="center"/>
    </xf>
    <xf numFmtId="39" fontId="92" fillId="3" borderId="1" xfId="14" applyNumberFormat="1" applyFont="1" applyFill="1" applyBorder="1" applyAlignment="1">
      <alignment horizontal="right" vertical="center"/>
    </xf>
    <xf numFmtId="0" fontId="75" fillId="6" borderId="0" xfId="14" applyFont="1" applyFill="1" applyBorder="1"/>
    <xf numFmtId="167" fontId="15" fillId="6" borderId="0" xfId="14" applyNumberFormat="1" applyFont="1" applyFill="1" applyBorder="1"/>
    <xf numFmtId="39" fontId="43" fillId="21" borderId="1" xfId="14" applyNumberFormat="1" applyFont="1" applyFill="1" applyBorder="1" applyAlignment="1">
      <alignment horizontal="right" vertical="center" wrapText="1" readingOrder="1"/>
    </xf>
    <xf numFmtId="39" fontId="17" fillId="3" borderId="1" xfId="14" applyNumberFormat="1" applyFont="1" applyFill="1" applyBorder="1" applyAlignment="1">
      <alignment horizontal="right" vertical="center"/>
    </xf>
    <xf numFmtId="44" fontId="93" fillId="3" borderId="0" xfId="11" applyFont="1" applyFill="1" applyAlignment="1">
      <alignment horizontal="right" vertical="center" wrapText="1"/>
    </xf>
    <xf numFmtId="175" fontId="94" fillId="3" borderId="1" xfId="7" applyNumberFormat="1" applyFont="1" applyFill="1" applyBorder="1" applyAlignment="1">
      <alignment horizontal="center" vertical="center"/>
    </xf>
    <xf numFmtId="175" fontId="13" fillId="6" borderId="0" xfId="14" applyNumberFormat="1" applyFont="1" applyFill="1" applyBorder="1"/>
    <xf numFmtId="39" fontId="6" fillId="3" borderId="1" xfId="14" applyNumberFormat="1" applyFont="1" applyFill="1" applyBorder="1" applyAlignment="1">
      <alignment horizontal="center" vertical="center" wrapText="1" readingOrder="1"/>
    </xf>
    <xf numFmtId="10" fontId="37" fillId="5" borderId="1" xfId="17" applyNumberFormat="1" applyFont="1" applyFill="1" applyBorder="1" applyAlignment="1">
      <alignment horizontal="center" vertical="center"/>
    </xf>
    <xf numFmtId="10" fontId="75" fillId="3" borderId="0" xfId="14" applyNumberFormat="1" applyFont="1" applyFill="1" applyBorder="1" applyAlignment="1">
      <alignment horizontal="center" vertical="center"/>
    </xf>
    <xf numFmtId="0" fontId="19" fillId="17" borderId="1" xfId="14" applyNumberFormat="1" applyFont="1" applyFill="1" applyBorder="1" applyAlignment="1">
      <alignment horizontal="left" vertical="center" wrapText="1" readingOrder="1"/>
    </xf>
    <xf numFmtId="0" fontId="19" fillId="0" borderId="1" xfId="14" applyFont="1" applyFill="1" applyBorder="1" applyAlignment="1">
      <alignment horizontal="center" vertical="center"/>
    </xf>
    <xf numFmtId="176" fontId="15" fillId="0" borderId="0" xfId="14" applyNumberFormat="1" applyFont="1" applyFill="1" applyBorder="1"/>
    <xf numFmtId="39" fontId="68" fillId="3" borderId="1" xfId="14" applyNumberFormat="1" applyFont="1" applyFill="1" applyBorder="1" applyAlignment="1">
      <alignment horizontal="right" vertical="center"/>
    </xf>
    <xf numFmtId="39" fontId="68" fillId="3" borderId="1" xfId="14" applyNumberFormat="1" applyFont="1" applyFill="1" applyBorder="1" applyAlignment="1">
      <alignment horizontal="center" vertical="center"/>
    </xf>
    <xf numFmtId="39" fontId="18" fillId="21" borderId="1" xfId="14" applyNumberFormat="1" applyFont="1" applyFill="1" applyBorder="1" applyAlignment="1">
      <alignment horizontal="right" vertical="center" readingOrder="1"/>
    </xf>
    <xf numFmtId="39" fontId="43" fillId="21" borderId="1" xfId="14" applyNumberFormat="1" applyFont="1" applyFill="1" applyBorder="1" applyAlignment="1">
      <alignment vertical="center" wrapText="1" readingOrder="1"/>
    </xf>
    <xf numFmtId="167" fontId="15" fillId="0" borderId="0" xfId="14" applyNumberFormat="1" applyFont="1" applyFill="1" applyBorder="1"/>
    <xf numFmtId="39" fontId="6" fillId="3" borderId="1" xfId="14" applyNumberFormat="1" applyFont="1" applyFill="1" applyBorder="1" applyAlignment="1">
      <alignment vertical="center" wrapText="1" readingOrder="1"/>
    </xf>
    <xf numFmtId="164" fontId="95" fillId="0" borderId="0" xfId="0" applyNumberFormat="1" applyFont="1" applyAlignment="1">
      <alignment vertical="center"/>
    </xf>
    <xf numFmtId="39" fontId="37" fillId="5" borderId="1" xfId="14" applyNumberFormat="1" applyFont="1" applyFill="1" applyBorder="1" applyAlignment="1">
      <alignment horizontal="left" vertical="center" wrapText="1" readingOrder="1"/>
    </xf>
    <xf numFmtId="10" fontId="15" fillId="3" borderId="0" xfId="14" applyNumberFormat="1" applyFont="1" applyFill="1" applyBorder="1" applyAlignment="1">
      <alignment horizontal="center" vertical="center" wrapText="1"/>
    </xf>
    <xf numFmtId="0" fontId="19" fillId="3" borderId="1" xfId="14" applyFont="1" applyFill="1" applyBorder="1"/>
    <xf numFmtId="39" fontId="19" fillId="24" borderId="1" xfId="14" applyNumberFormat="1" applyFont="1" applyFill="1" applyBorder="1" applyAlignment="1">
      <alignment horizontal="right" vertical="center"/>
    </xf>
    <xf numFmtId="0" fontId="16" fillId="0" borderId="0" xfId="14" applyFont="1" applyFill="1" applyBorder="1"/>
    <xf numFmtId="0" fontId="15" fillId="0" borderId="0" xfId="14" applyFont="1" applyFill="1" applyBorder="1" applyAlignment="1">
      <alignment horizontal="center" vertical="center"/>
    </xf>
    <xf numFmtId="0" fontId="8" fillId="25" borderId="1" xfId="14" applyNumberFormat="1" applyFont="1" applyFill="1" applyBorder="1" applyAlignment="1">
      <alignment horizontal="left" vertical="center" wrapText="1" readingOrder="1"/>
    </xf>
    <xf numFmtId="178" fontId="96" fillId="3" borderId="1" xfId="14" applyNumberFormat="1" applyFont="1" applyFill="1" applyBorder="1" applyAlignment="1">
      <alignment horizontal="right" vertical="center" wrapText="1" readingOrder="1"/>
    </xf>
    <xf numFmtId="10" fontId="19" fillId="3" borderId="1" xfId="17" applyNumberFormat="1" applyFont="1" applyFill="1" applyBorder="1" applyAlignment="1">
      <alignment horizontal="center" vertical="center" wrapText="1"/>
    </xf>
    <xf numFmtId="176" fontId="97" fillId="0" borderId="0" xfId="14" applyNumberFormat="1" applyFont="1" applyFill="1" applyBorder="1" applyAlignment="1">
      <alignment horizontal="right" vertical="center"/>
    </xf>
    <xf numFmtId="0" fontId="97" fillId="0" borderId="0" xfId="14" applyFont="1" applyFill="1" applyBorder="1"/>
    <xf numFmtId="167" fontId="16" fillId="0" borderId="0" xfId="14" applyNumberFormat="1" applyFont="1" applyFill="1" applyBorder="1" applyAlignment="1">
      <alignment horizontal="center" vertical="center"/>
    </xf>
    <xf numFmtId="175" fontId="88" fillId="3" borderId="1" xfId="7" applyNumberFormat="1" applyFont="1" applyFill="1" applyBorder="1" applyAlignment="1">
      <alignment horizontal="center" vertical="center"/>
    </xf>
    <xf numFmtId="39" fontId="19" fillId="4" borderId="1" xfId="14" applyNumberFormat="1" applyFont="1" applyFill="1" applyBorder="1" applyAlignment="1">
      <alignment horizontal="right" vertical="center" wrapText="1" readingOrder="1"/>
    </xf>
    <xf numFmtId="10" fontId="88" fillId="3" borderId="0" xfId="17" applyNumberFormat="1" applyFont="1" applyFill="1" applyBorder="1" applyAlignment="1">
      <alignment horizontal="center" vertical="center"/>
    </xf>
    <xf numFmtId="178" fontId="98" fillId="18" borderId="1" xfId="14" applyNumberFormat="1" applyFont="1" applyFill="1" applyBorder="1" applyAlignment="1">
      <alignment horizontal="right" vertical="center" wrapText="1" readingOrder="1"/>
    </xf>
    <xf numFmtId="176" fontId="99" fillId="0" borderId="0" xfId="14" applyNumberFormat="1" applyFont="1" applyFill="1" applyBorder="1"/>
    <xf numFmtId="0" fontId="99" fillId="0" borderId="0" xfId="14" applyFont="1" applyFill="1" applyBorder="1"/>
    <xf numFmtId="165" fontId="99" fillId="0" borderId="0" xfId="7" applyFont="1" applyFill="1" applyBorder="1" applyAlignment="1">
      <alignment horizontal="center" vertical="center"/>
    </xf>
    <xf numFmtId="167" fontId="100" fillId="0" borderId="0" xfId="14" applyNumberFormat="1" applyFont="1" applyFill="1" applyBorder="1" applyAlignment="1">
      <alignment horizontal="center" vertical="center"/>
    </xf>
    <xf numFmtId="0" fontId="75" fillId="0" borderId="0" xfId="14" applyFont="1" applyFill="1" applyBorder="1"/>
    <xf numFmtId="0" fontId="101" fillId="0" borderId="0" xfId="14" applyFont="1" applyFill="1" applyBorder="1"/>
    <xf numFmtId="0" fontId="101" fillId="0" borderId="0" xfId="14" applyFont="1" applyFill="1" applyBorder="1" applyAlignment="1">
      <alignment horizontal="center" vertical="center"/>
    </xf>
    <xf numFmtId="0" fontId="102" fillId="0" borderId="0" xfId="14" applyFont="1" applyFill="1" applyBorder="1" applyAlignment="1">
      <alignment horizontal="center" vertical="center"/>
    </xf>
    <xf numFmtId="167" fontId="103" fillId="0" borderId="0" xfId="14" applyNumberFormat="1" applyFont="1" applyFill="1" applyBorder="1" applyAlignment="1">
      <alignment horizontal="center" vertical="center"/>
    </xf>
    <xf numFmtId="39" fontId="17" fillId="3" borderId="1" xfId="14" applyNumberFormat="1" applyFont="1" applyFill="1" applyBorder="1" applyAlignment="1">
      <alignment horizontal="right" vertical="center" wrapText="1" readingOrder="1"/>
    </xf>
    <xf numFmtId="39" fontId="17" fillId="3" borderId="1" xfId="14" applyNumberFormat="1" applyFont="1" applyFill="1" applyBorder="1" applyAlignment="1">
      <alignment vertical="center" wrapText="1" readingOrder="1"/>
    </xf>
    <xf numFmtId="175" fontId="15" fillId="0" borderId="0" xfId="14" applyNumberFormat="1" applyFont="1" applyFill="1" applyBorder="1"/>
    <xf numFmtId="39" fontId="40" fillId="21" borderId="1" xfId="14" applyNumberFormat="1" applyFont="1" applyFill="1" applyBorder="1" applyAlignment="1">
      <alignment horizontal="right" vertical="center" wrapText="1" readingOrder="1"/>
    </xf>
    <xf numFmtId="39" fontId="37" fillId="5" borderId="1" xfId="14" applyNumberFormat="1" applyFont="1" applyFill="1" applyBorder="1" applyAlignment="1">
      <alignment horizontal="center" vertical="center" wrapText="1" readingOrder="1"/>
    </xf>
    <xf numFmtId="0" fontId="14" fillId="3" borderId="5" xfId="14" applyNumberFormat="1" applyFont="1" applyFill="1" applyBorder="1" applyAlignment="1">
      <alignment vertical="center" wrapText="1" readingOrder="1"/>
    </xf>
    <xf numFmtId="176" fontId="19" fillId="3" borderId="1" xfId="14" applyNumberFormat="1" applyFont="1" applyFill="1" applyBorder="1" applyAlignment="1">
      <alignment vertical="center" wrapText="1" readingOrder="1"/>
    </xf>
    <xf numFmtId="10" fontId="15" fillId="3" borderId="1" xfId="17" applyNumberFormat="1" applyFont="1" applyFill="1" applyBorder="1" applyAlignment="1">
      <alignment horizontal="center" vertical="center" wrapText="1"/>
    </xf>
    <xf numFmtId="178" fontId="88" fillId="5" borderId="1" xfId="14" applyNumberFormat="1" applyFont="1" applyFill="1" applyBorder="1"/>
    <xf numFmtId="0" fontId="19" fillId="3" borderId="1" xfId="14" applyNumberFormat="1" applyFont="1" applyFill="1" applyBorder="1" applyAlignment="1">
      <alignment horizontal="left" vertical="center" wrapText="1" readingOrder="1"/>
    </xf>
    <xf numFmtId="39" fontId="19" fillId="3" borderId="1" xfId="14" applyNumberFormat="1" applyFont="1" applyFill="1" applyBorder="1" applyAlignment="1">
      <alignment horizontal="center" vertical="center" wrapText="1"/>
    </xf>
    <xf numFmtId="0" fontId="15" fillId="3" borderId="1" xfId="14" applyFont="1" applyFill="1" applyBorder="1" applyAlignment="1">
      <alignment vertical="center" wrapText="1"/>
    </xf>
    <xf numFmtId="39" fontId="18" fillId="8" borderId="1" xfId="14" applyNumberFormat="1" applyFont="1" applyFill="1" applyBorder="1" applyAlignment="1">
      <alignment horizontal="right" vertical="center" wrapText="1" readingOrder="1"/>
    </xf>
    <xf numFmtId="39" fontId="42" fillId="8" borderId="1" xfId="14" applyNumberFormat="1" applyFont="1" applyFill="1" applyBorder="1" applyAlignment="1">
      <alignment horizontal="right" vertical="center" wrapText="1" readingOrder="1"/>
    </xf>
    <xf numFmtId="39" fontId="43" fillId="8" borderId="1" xfId="14" applyNumberFormat="1" applyFont="1" applyFill="1" applyBorder="1" applyAlignment="1">
      <alignment horizontal="right" vertical="center" wrapText="1" readingOrder="1"/>
    </xf>
    <xf numFmtId="39" fontId="37" fillId="18" borderId="1" xfId="14" applyNumberFormat="1" applyFont="1" applyFill="1" applyBorder="1" applyAlignment="1">
      <alignment horizontal="right" vertical="center" wrapText="1" readingOrder="1"/>
    </xf>
    <xf numFmtId="39" fontId="19" fillId="4" borderId="1" xfId="14" applyNumberFormat="1" applyFont="1" applyFill="1" applyBorder="1" applyAlignment="1">
      <alignment horizontal="right" vertical="center" wrapText="1"/>
    </xf>
    <xf numFmtId="39" fontId="19" fillId="3" borderId="1" xfId="14" applyNumberFormat="1" applyFont="1" applyFill="1" applyBorder="1" applyAlignment="1">
      <alignment horizontal="right" vertical="center" wrapText="1"/>
    </xf>
    <xf numFmtId="0" fontId="14" fillId="3" borderId="0" xfId="14" applyNumberFormat="1" applyFont="1" applyFill="1" applyBorder="1" applyAlignment="1">
      <alignment horizontal="center" vertical="center" wrapText="1" readingOrder="1"/>
    </xf>
    <xf numFmtId="178" fontId="96" fillId="3" borderId="1" xfId="14" applyNumberFormat="1" applyFont="1" applyFill="1" applyBorder="1" applyAlignment="1">
      <alignment horizontal="center" vertical="center" wrapText="1" readingOrder="1"/>
    </xf>
    <xf numFmtId="39" fontId="36" fillId="5" borderId="1" xfId="14" applyNumberFormat="1" applyFont="1" applyFill="1" applyBorder="1" applyAlignment="1">
      <alignment horizontal="right" vertical="center" wrapText="1" readingOrder="1"/>
    </xf>
    <xf numFmtId="39" fontId="36" fillId="21" borderId="1" xfId="14" applyNumberFormat="1" applyFont="1" applyFill="1" applyBorder="1" applyAlignment="1">
      <alignment horizontal="right" vertical="center" wrapText="1" readingOrder="1"/>
    </xf>
    <xf numFmtId="10" fontId="88" fillId="22" borderId="1" xfId="17" applyNumberFormat="1" applyFont="1" applyFill="1" applyBorder="1" applyAlignment="1">
      <alignment horizontal="center" vertical="center"/>
    </xf>
    <xf numFmtId="39" fontId="88" fillId="3" borderId="5" xfId="14" applyNumberFormat="1" applyFont="1" applyFill="1" applyBorder="1" applyAlignment="1">
      <alignment horizontal="right" vertical="center"/>
    </xf>
    <xf numFmtId="10" fontId="88" fillId="19" borderId="1" xfId="14" applyNumberFormat="1" applyFont="1" applyFill="1" applyBorder="1" applyAlignment="1">
      <alignment horizontal="center" vertical="center"/>
    </xf>
    <xf numFmtId="39" fontId="86" fillId="3" borderId="1" xfId="14" applyNumberFormat="1" applyFont="1" applyFill="1" applyBorder="1" applyAlignment="1">
      <alignment horizontal="right" vertical="center" wrapText="1" readingOrder="1"/>
    </xf>
    <xf numFmtId="39" fontId="8" fillId="3" borderId="1" xfId="14" applyNumberFormat="1" applyFont="1" applyFill="1" applyBorder="1" applyAlignment="1">
      <alignment horizontal="right" vertical="center" wrapText="1" readingOrder="1"/>
    </xf>
    <xf numFmtId="39" fontId="1" fillId="21" borderId="1" xfId="14" applyNumberFormat="1" applyFont="1" applyFill="1" applyBorder="1" applyAlignment="1">
      <alignment horizontal="right" vertical="center" wrapText="1" readingOrder="1"/>
    </xf>
    <xf numFmtId="39" fontId="17" fillId="4" borderId="1" xfId="14" applyNumberFormat="1" applyFont="1" applyFill="1" applyBorder="1" applyAlignment="1">
      <alignment horizontal="right" vertical="center" wrapText="1" readingOrder="1"/>
    </xf>
    <xf numFmtId="10" fontId="15" fillId="3" borderId="1" xfId="17" applyNumberFormat="1" applyFont="1" applyFill="1" applyBorder="1" applyAlignment="1">
      <alignment horizontal="center" vertical="center"/>
    </xf>
    <xf numFmtId="39" fontId="15" fillId="17" borderId="1" xfId="14" applyNumberFormat="1" applyFont="1" applyFill="1" applyBorder="1" applyAlignment="1">
      <alignment horizontal="right" vertical="center"/>
    </xf>
    <xf numFmtId="39" fontId="15" fillId="17" borderId="1" xfId="14" applyNumberFormat="1" applyFont="1" applyFill="1" applyBorder="1" applyAlignment="1">
      <alignment horizontal="center" vertical="center" wrapText="1"/>
    </xf>
    <xf numFmtId="39" fontId="15" fillId="3" borderId="5" xfId="14" applyNumberFormat="1" applyFont="1" applyFill="1" applyBorder="1" applyAlignment="1">
      <alignment horizontal="right" vertical="center"/>
    </xf>
    <xf numFmtId="10" fontId="15" fillId="0" borderId="1" xfId="14" applyNumberFormat="1" applyFont="1" applyFill="1" applyBorder="1" applyAlignment="1">
      <alignment horizontal="center" vertical="center"/>
    </xf>
    <xf numFmtId="10" fontId="94" fillId="3" borderId="0" xfId="14" applyNumberFormat="1" applyFont="1" applyFill="1" applyBorder="1" applyAlignment="1">
      <alignment horizontal="center" vertical="center"/>
    </xf>
    <xf numFmtId="0" fontId="6" fillId="5" borderId="21" xfId="14" applyNumberFormat="1" applyFont="1" applyFill="1" applyBorder="1" applyAlignment="1">
      <alignment horizontal="center" vertical="center" wrapText="1" readingOrder="1"/>
    </xf>
    <xf numFmtId="39" fontId="35" fillId="22" borderId="1" xfId="14" applyNumberFormat="1" applyFont="1" applyFill="1" applyBorder="1" applyAlignment="1">
      <alignment horizontal="right" vertical="center" wrapText="1" readingOrder="1"/>
    </xf>
    <xf numFmtId="39" fontId="1" fillId="5" borderId="1" xfId="14" applyNumberFormat="1" applyFont="1" applyFill="1" applyBorder="1" applyAlignment="1">
      <alignment horizontal="right" vertical="center" wrapText="1" readingOrder="1"/>
    </xf>
    <xf numFmtId="39" fontId="4" fillId="4" borderId="1" xfId="14" applyNumberFormat="1" applyFont="1" applyFill="1" applyBorder="1" applyAlignment="1">
      <alignment horizontal="right"/>
    </xf>
    <xf numFmtId="39" fontId="91" fillId="5" borderId="1" xfId="14" applyNumberFormat="1" applyFont="1" applyFill="1" applyBorder="1" applyAlignment="1">
      <alignment horizontal="right"/>
    </xf>
    <xf numFmtId="39" fontId="85" fillId="5" borderId="1" xfId="14" applyNumberFormat="1" applyFont="1" applyFill="1" applyBorder="1" applyAlignment="1">
      <alignment horizontal="right" vertical="center" wrapText="1" readingOrder="1"/>
    </xf>
    <xf numFmtId="39" fontId="7" fillId="5" borderId="1" xfId="14" applyNumberFormat="1" applyFont="1" applyFill="1" applyBorder="1" applyAlignment="1">
      <alignment horizontal="right" vertical="center" wrapText="1" readingOrder="1"/>
    </xf>
    <xf numFmtId="39" fontId="13" fillId="18" borderId="1" xfId="14" applyNumberFormat="1" applyFont="1" applyFill="1" applyBorder="1" applyAlignment="1">
      <alignment horizontal="right"/>
    </xf>
    <xf numFmtId="39" fontId="4" fillId="5" borderId="1" xfId="14" applyNumberFormat="1" applyFont="1" applyFill="1" applyBorder="1" applyAlignment="1">
      <alignment horizontal="center" vertical="center"/>
    </xf>
    <xf numFmtId="39" fontId="13" fillId="5" borderId="1" xfId="14" applyNumberFormat="1" applyFont="1" applyFill="1" applyBorder="1" applyAlignment="1">
      <alignment horizontal="right"/>
    </xf>
    <xf numFmtId="0" fontId="13" fillId="5" borderId="1" xfId="14" applyFont="1" applyFill="1" applyBorder="1" applyAlignment="1">
      <alignment horizontal="center" vertical="center" wrapText="1"/>
    </xf>
    <xf numFmtId="39" fontId="13" fillId="3" borderId="5" xfId="14" applyNumberFormat="1" applyFont="1" applyFill="1" applyBorder="1" applyAlignment="1">
      <alignment horizontal="right" vertical="center"/>
    </xf>
    <xf numFmtId="0" fontId="82" fillId="5" borderId="1" xfId="14" applyFont="1" applyFill="1" applyBorder="1"/>
    <xf numFmtId="39" fontId="13" fillId="5" borderId="1" xfId="14" applyNumberFormat="1" applyFont="1" applyFill="1" applyBorder="1" applyAlignment="1">
      <alignment horizontal="center" vertical="center" wrapText="1"/>
    </xf>
    <xf numFmtId="175" fontId="104" fillId="5" borderId="1" xfId="7" applyNumberFormat="1" applyFont="1" applyFill="1" applyBorder="1" applyAlignment="1">
      <alignment horizontal="center" vertical="center"/>
    </xf>
    <xf numFmtId="175" fontId="16" fillId="5" borderId="1" xfId="7" applyNumberFormat="1" applyFont="1" applyFill="1" applyBorder="1" applyAlignment="1">
      <alignment horizontal="center" vertical="center"/>
    </xf>
    <xf numFmtId="0" fontId="4" fillId="4" borderId="1" xfId="14" applyFont="1" applyFill="1" applyBorder="1" applyAlignment="1">
      <alignment horizontal="right"/>
    </xf>
    <xf numFmtId="0" fontId="91" fillId="5" borderId="1" xfId="14" applyFont="1" applyFill="1" applyBorder="1" applyAlignment="1">
      <alignment horizontal="right"/>
    </xf>
    <xf numFmtId="176" fontId="91" fillId="5" borderId="1" xfId="14" applyNumberFormat="1" applyFont="1" applyFill="1" applyBorder="1" applyAlignment="1">
      <alignment horizontal="right"/>
    </xf>
    <xf numFmtId="0" fontId="13" fillId="18" borderId="1" xfId="14" applyFont="1" applyFill="1" applyBorder="1" applyAlignment="1">
      <alignment horizontal="right"/>
    </xf>
    <xf numFmtId="0" fontId="4" fillId="5" borderId="1" xfId="14" applyFont="1" applyFill="1" applyBorder="1" applyAlignment="1">
      <alignment horizontal="center" vertical="center"/>
    </xf>
    <xf numFmtId="0" fontId="13" fillId="5" borderId="1" xfId="14" applyFont="1" applyFill="1" applyBorder="1" applyAlignment="1">
      <alignment horizontal="right"/>
    </xf>
    <xf numFmtId="0" fontId="13" fillId="5" borderId="1" xfId="14" applyFont="1" applyFill="1" applyBorder="1" applyAlignment="1">
      <alignment horizontal="center" vertical="center"/>
    </xf>
    <xf numFmtId="0" fontId="13" fillId="3" borderId="0" xfId="14" applyFont="1" applyFill="1" applyBorder="1" applyAlignment="1">
      <alignment horizontal="center" vertical="center"/>
    </xf>
    <xf numFmtId="0" fontId="105" fillId="26" borderId="21" xfId="14" applyNumberFormat="1" applyFont="1" applyFill="1" applyBorder="1" applyAlignment="1">
      <alignment horizontal="center" vertical="center" wrapText="1" readingOrder="1"/>
    </xf>
    <xf numFmtId="0" fontId="105" fillId="26" borderId="1" xfId="14" applyNumberFormat="1" applyFont="1" applyFill="1" applyBorder="1" applyAlignment="1">
      <alignment horizontal="center" vertical="center" wrapText="1" readingOrder="1"/>
    </xf>
    <xf numFmtId="0" fontId="8" fillId="26" borderId="1" xfId="14" applyNumberFormat="1" applyFont="1" applyFill="1" applyBorder="1" applyAlignment="1">
      <alignment horizontal="left" vertical="center" wrapText="1" readingOrder="1"/>
    </xf>
    <xf numFmtId="39" fontId="86" fillId="26" borderId="1" xfId="14" applyNumberFormat="1" applyFont="1" applyFill="1" applyBorder="1" applyAlignment="1">
      <alignment horizontal="right" vertical="center" wrapText="1" readingOrder="1"/>
    </xf>
    <xf numFmtId="39" fontId="8" fillId="26" borderId="1" xfId="14" applyNumberFormat="1" applyFont="1" applyFill="1" applyBorder="1" applyAlignment="1">
      <alignment horizontal="right" vertical="center" wrapText="1" readingOrder="1"/>
    </xf>
    <xf numFmtId="39" fontId="8" fillId="4" borderId="1" xfId="14" applyNumberFormat="1" applyFont="1" applyFill="1" applyBorder="1" applyAlignment="1">
      <alignment horizontal="right" vertical="center" wrapText="1" readingOrder="1"/>
    </xf>
    <xf numFmtId="39" fontId="89" fillId="26" borderId="1" xfId="14" applyNumberFormat="1" applyFont="1" applyFill="1" applyBorder="1" applyAlignment="1">
      <alignment horizontal="right" vertical="center" wrapText="1" readingOrder="1"/>
    </xf>
    <xf numFmtId="39" fontId="89" fillId="26" borderId="1" xfId="14" applyNumberFormat="1" applyFont="1" applyFill="1" applyBorder="1" applyAlignment="1">
      <alignment horizontal="right" vertical="center" wrapText="1"/>
    </xf>
    <xf numFmtId="39" fontId="86" fillId="3" borderId="1" xfId="14" applyNumberFormat="1" applyFont="1" applyFill="1" applyBorder="1" applyAlignment="1">
      <alignment horizontal="right" vertical="center" wrapText="1"/>
    </xf>
    <xf numFmtId="10" fontId="15" fillId="26" borderId="1" xfId="17" applyNumberFormat="1" applyFont="1" applyFill="1" applyBorder="1" applyAlignment="1">
      <alignment horizontal="center" vertical="center"/>
    </xf>
    <xf numFmtId="39" fontId="15" fillId="26" borderId="1" xfId="14" applyNumberFormat="1" applyFont="1" applyFill="1" applyBorder="1" applyAlignment="1">
      <alignment horizontal="right" vertical="center"/>
    </xf>
    <xf numFmtId="39" fontId="15" fillId="26" borderId="1" xfId="14" applyNumberFormat="1" applyFont="1" applyFill="1" applyBorder="1" applyAlignment="1">
      <alignment horizontal="center" vertical="center" wrapText="1"/>
    </xf>
    <xf numFmtId="39" fontId="15" fillId="26" borderId="5" xfId="14" applyNumberFormat="1" applyFont="1" applyFill="1" applyBorder="1" applyAlignment="1">
      <alignment horizontal="right" vertical="center"/>
    </xf>
    <xf numFmtId="10" fontId="15" fillId="26" borderId="1" xfId="14" applyNumberFormat="1" applyFont="1" applyFill="1" applyBorder="1" applyAlignment="1">
      <alignment horizontal="center" vertical="center"/>
    </xf>
    <xf numFmtId="0" fontId="82" fillId="26" borderId="1" xfId="14" applyFont="1" applyFill="1" applyBorder="1"/>
    <xf numFmtId="0" fontId="4" fillId="26" borderId="1" xfId="14" applyFont="1" applyFill="1" applyBorder="1" applyAlignment="1">
      <alignment horizontal="center" vertical="center" wrapText="1"/>
    </xf>
    <xf numFmtId="175" fontId="16" fillId="26" borderId="1" xfId="7" applyNumberFormat="1" applyFont="1" applyFill="1" applyBorder="1" applyAlignment="1">
      <alignment horizontal="center" vertical="center"/>
    </xf>
    <xf numFmtId="165" fontId="15" fillId="26" borderId="0" xfId="14" applyNumberFormat="1" applyFont="1" applyFill="1" applyBorder="1"/>
    <xf numFmtId="0" fontId="4" fillId="26" borderId="0" xfId="14" applyFont="1" applyFill="1" applyBorder="1"/>
    <xf numFmtId="0" fontId="68" fillId="26" borderId="0" xfId="14" applyFont="1" applyFill="1" applyBorder="1" applyAlignment="1">
      <alignment horizontal="center" vertical="center"/>
    </xf>
    <xf numFmtId="0" fontId="105" fillId="3" borderId="21" xfId="14" applyNumberFormat="1" applyFont="1" applyFill="1" applyBorder="1" applyAlignment="1">
      <alignment horizontal="center" vertical="center" wrapText="1" readingOrder="1"/>
    </xf>
    <xf numFmtId="39" fontId="8" fillId="4" borderId="1" xfId="14" applyNumberFormat="1" applyFont="1" applyFill="1" applyBorder="1" applyAlignment="1">
      <alignment horizontal="right" vertical="center" wrapText="1"/>
    </xf>
    <xf numFmtId="39" fontId="89" fillId="3" borderId="1" xfId="14" applyNumberFormat="1" applyFont="1" applyFill="1" applyBorder="1" applyAlignment="1">
      <alignment horizontal="right" vertical="center" wrapText="1"/>
    </xf>
    <xf numFmtId="39" fontId="89" fillId="3" borderId="1" xfId="14" applyNumberFormat="1" applyFont="1" applyFill="1" applyBorder="1" applyAlignment="1">
      <alignment horizontal="right" vertical="center" wrapText="1" readingOrder="1"/>
    </xf>
    <xf numFmtId="39" fontId="8" fillId="3" borderId="1" xfId="14" applyNumberFormat="1" applyFont="1" applyFill="1" applyBorder="1" applyAlignment="1">
      <alignment horizontal="center" vertical="center" wrapText="1"/>
    </xf>
    <xf numFmtId="39" fontId="8" fillId="3" borderId="1" xfId="14" applyNumberFormat="1" applyFont="1" applyFill="1" applyBorder="1" applyAlignment="1">
      <alignment horizontal="right" vertical="center" wrapText="1"/>
    </xf>
    <xf numFmtId="39" fontId="5" fillId="3" borderId="1" xfId="14" applyNumberFormat="1" applyFont="1" applyFill="1" applyBorder="1" applyAlignment="1">
      <alignment horizontal="center" vertical="center" wrapText="1"/>
    </xf>
    <xf numFmtId="39" fontId="106" fillId="3" borderId="5" xfId="14" applyNumberFormat="1" applyFont="1" applyFill="1" applyBorder="1" applyAlignment="1">
      <alignment horizontal="right" vertical="center"/>
    </xf>
    <xf numFmtId="0" fontId="4" fillId="3" borderId="1" xfId="14" applyFont="1" applyFill="1" applyBorder="1" applyAlignment="1">
      <alignment horizontal="center" vertical="center"/>
    </xf>
    <xf numFmtId="0" fontId="4" fillId="3" borderId="1" xfId="14" applyFont="1" applyFill="1" applyBorder="1" applyAlignment="1">
      <alignment horizontal="center" vertical="center" wrapText="1"/>
    </xf>
    <xf numFmtId="0" fontId="4" fillId="3" borderId="0" xfId="14" applyFont="1" applyFill="1" applyBorder="1"/>
    <xf numFmtId="0" fontId="9" fillId="0" borderId="21" xfId="14" applyNumberFormat="1" applyFont="1" applyFill="1" applyBorder="1" applyAlignment="1">
      <alignment horizontal="center" vertical="center" wrapText="1" readingOrder="1"/>
    </xf>
    <xf numFmtId="39" fontId="6" fillId="0" borderId="1" xfId="14" applyNumberFormat="1" applyFont="1" applyFill="1" applyBorder="1" applyAlignment="1">
      <alignment horizontal="right" vertical="center" wrapText="1" readingOrder="1"/>
    </xf>
    <xf numFmtId="39" fontId="8" fillId="0" borderId="1" xfId="14" applyNumberFormat="1" applyFont="1" applyFill="1" applyBorder="1" applyAlignment="1">
      <alignment horizontal="right" vertical="center" wrapText="1" readingOrder="1"/>
    </xf>
    <xf numFmtId="0" fontId="5" fillId="0" borderId="1" xfId="14" applyFont="1" applyFill="1" applyBorder="1" applyAlignment="1">
      <alignment horizontal="center" vertical="center" wrapText="1"/>
    </xf>
    <xf numFmtId="0" fontId="4" fillId="0" borderId="1" xfId="14" applyFont="1" applyFill="1" applyBorder="1" applyAlignment="1">
      <alignment horizontal="center" vertical="center"/>
    </xf>
    <xf numFmtId="175" fontId="16" fillId="0" borderId="1" xfId="7" applyNumberFormat="1" applyFont="1" applyFill="1" applyBorder="1" applyAlignment="1">
      <alignment horizontal="center" vertical="center"/>
    </xf>
    <xf numFmtId="171" fontId="105" fillId="26" borderId="1" xfId="14" applyNumberFormat="1" applyFont="1" applyFill="1" applyBorder="1" applyAlignment="1">
      <alignment horizontal="center" vertical="center" wrapText="1" readingOrder="1"/>
    </xf>
    <xf numFmtId="39" fontId="8" fillId="26" borderId="1" xfId="14" applyNumberFormat="1" applyFont="1" applyFill="1" applyBorder="1" applyAlignment="1">
      <alignment horizontal="right" vertical="center" wrapText="1"/>
    </xf>
    <xf numFmtId="39" fontId="86" fillId="26" borderId="1" xfId="14" applyNumberFormat="1" applyFont="1" applyFill="1" applyBorder="1" applyAlignment="1">
      <alignment horizontal="right" vertical="center" wrapText="1"/>
    </xf>
    <xf numFmtId="39" fontId="8" fillId="26" borderId="1" xfId="14" applyNumberFormat="1" applyFont="1" applyFill="1" applyBorder="1" applyAlignment="1">
      <alignment horizontal="center" vertical="center" wrapText="1"/>
    </xf>
    <xf numFmtId="0" fontId="5" fillId="26" borderId="1" xfId="14" applyFont="1" applyFill="1" applyBorder="1" applyAlignment="1">
      <alignment horizontal="center" vertical="center" wrapText="1"/>
    </xf>
    <xf numFmtId="0" fontId="4" fillId="26" borderId="1" xfId="14" applyFont="1" applyFill="1" applyBorder="1" applyAlignment="1">
      <alignment horizontal="center" vertical="center"/>
    </xf>
    <xf numFmtId="0" fontId="15" fillId="26" borderId="0" xfId="14" applyFont="1" applyFill="1" applyBorder="1"/>
    <xf numFmtId="0" fontId="7" fillId="27" borderId="1" xfId="14" applyNumberFormat="1" applyFont="1" applyFill="1" applyBorder="1" applyAlignment="1">
      <alignment horizontal="center" vertical="center" wrapText="1" readingOrder="1"/>
    </xf>
    <xf numFmtId="1" fontId="7" fillId="27" borderId="1" xfId="14" applyNumberFormat="1" applyFont="1" applyFill="1" applyBorder="1" applyAlignment="1">
      <alignment horizontal="center" vertical="center" wrapText="1" readingOrder="1"/>
    </xf>
    <xf numFmtId="0" fontId="89" fillId="9" borderId="1" xfId="14" applyNumberFormat="1" applyFont="1" applyFill="1" applyBorder="1" applyAlignment="1">
      <alignment horizontal="left" vertical="center" wrapText="1" readingOrder="1"/>
    </xf>
    <xf numFmtId="39" fontId="86" fillId="27" borderId="1" xfId="14" applyNumberFormat="1" applyFont="1" applyFill="1" applyBorder="1" applyAlignment="1">
      <alignment horizontal="right" vertical="center" wrapText="1" readingOrder="1"/>
    </xf>
    <xf numFmtId="39" fontId="89" fillId="28" borderId="1" xfId="14" applyNumberFormat="1" applyFont="1" applyFill="1" applyBorder="1" applyAlignment="1">
      <alignment horizontal="right" vertical="center" wrapText="1" readingOrder="1"/>
    </xf>
    <xf numFmtId="10" fontId="12" fillId="3" borderId="0" xfId="14" applyNumberFormat="1" applyFont="1" applyFill="1" applyBorder="1" applyAlignment="1">
      <alignment horizontal="center" vertical="center"/>
    </xf>
    <xf numFmtId="10" fontId="4" fillId="3" borderId="1" xfId="14" applyNumberFormat="1" applyFont="1" applyFill="1" applyBorder="1" applyAlignment="1">
      <alignment horizontal="center" vertical="center" wrapText="1"/>
    </xf>
    <xf numFmtId="49" fontId="107" fillId="27" borderId="1" xfId="14" applyNumberFormat="1" applyFont="1" applyFill="1" applyBorder="1" applyAlignment="1">
      <alignment horizontal="center" vertical="center" wrapText="1" readingOrder="1"/>
    </xf>
    <xf numFmtId="0" fontId="107" fillId="27" borderId="1" xfId="14" applyNumberFormat="1" applyFont="1" applyFill="1" applyBorder="1" applyAlignment="1">
      <alignment horizontal="center" vertical="center" wrapText="1" readingOrder="1"/>
    </xf>
    <xf numFmtId="39" fontId="89" fillId="4" borderId="1" xfId="14" applyNumberFormat="1" applyFont="1" applyFill="1" applyBorder="1" applyAlignment="1">
      <alignment horizontal="right" vertical="center" wrapText="1"/>
    </xf>
    <xf numFmtId="39" fontId="15" fillId="9" borderId="1" xfId="14" applyNumberFormat="1" applyFont="1" applyFill="1" applyBorder="1" applyAlignment="1">
      <alignment horizontal="right" vertical="center"/>
    </xf>
    <xf numFmtId="39" fontId="15" fillId="9" borderId="1" xfId="14" applyNumberFormat="1" applyFont="1" applyFill="1" applyBorder="1" applyAlignment="1">
      <alignment horizontal="center" vertical="center" wrapText="1"/>
    </xf>
    <xf numFmtId="39" fontId="15" fillId="9" borderId="5" xfId="14" applyNumberFormat="1" applyFont="1" applyFill="1" applyBorder="1" applyAlignment="1">
      <alignment horizontal="right" vertical="center"/>
    </xf>
    <xf numFmtId="10" fontId="15" fillId="9" borderId="1" xfId="14" applyNumberFormat="1" applyFont="1" applyFill="1" applyBorder="1" applyAlignment="1">
      <alignment horizontal="center" vertical="center"/>
    </xf>
    <xf numFmtId="179" fontId="12" fillId="3" borderId="0" xfId="14" applyNumberFormat="1" applyFont="1" applyFill="1" applyBorder="1" applyAlignment="1">
      <alignment horizontal="center" vertical="center"/>
    </xf>
    <xf numFmtId="179" fontId="5" fillId="3" borderId="1" xfId="14" applyNumberFormat="1" applyFont="1" applyFill="1" applyBorder="1" applyAlignment="1">
      <alignment horizontal="center" vertical="center" wrapText="1"/>
    </xf>
    <xf numFmtId="10" fontId="5" fillId="3" borderId="1" xfId="14" applyNumberFormat="1" applyFont="1" applyFill="1" applyBorder="1" applyAlignment="1">
      <alignment horizontal="center" vertical="center" wrapText="1"/>
    </xf>
    <xf numFmtId="0" fontId="108" fillId="26" borderId="1" xfId="14" applyFont="1" applyFill="1" applyBorder="1" applyAlignment="1">
      <alignment horizontal="center" vertical="center" wrapText="1"/>
    </xf>
    <xf numFmtId="0" fontId="108" fillId="26" borderId="0" xfId="14" applyFont="1" applyFill="1" applyBorder="1"/>
    <xf numFmtId="0" fontId="109" fillId="0" borderId="21" xfId="14" applyNumberFormat="1" applyFont="1" applyFill="1" applyBorder="1" applyAlignment="1">
      <alignment horizontal="center" vertical="center" wrapText="1" readingOrder="1"/>
    </xf>
    <xf numFmtId="0" fontId="109" fillId="0" borderId="1" xfId="14" applyNumberFormat="1" applyFont="1" applyFill="1" applyBorder="1" applyAlignment="1">
      <alignment horizontal="center" vertical="center" wrapText="1" readingOrder="1"/>
    </xf>
    <xf numFmtId="4" fontId="8" fillId="0" borderId="1" xfId="14" applyNumberFormat="1" applyFont="1" applyFill="1" applyBorder="1" applyAlignment="1" applyProtection="1">
      <alignment horizontal="center" vertical="center"/>
    </xf>
    <xf numFmtId="39" fontId="5" fillId="0" borderId="1" xfId="14" applyNumberFormat="1" applyFont="1" applyFill="1" applyBorder="1"/>
    <xf numFmtId="39" fontId="5" fillId="4" borderId="1" xfId="14" applyNumberFormat="1" applyFont="1" applyFill="1" applyBorder="1" applyAlignment="1">
      <alignment horizontal="center" vertical="center"/>
    </xf>
    <xf numFmtId="39" fontId="5" fillId="29" borderId="1" xfId="14" applyNumberFormat="1" applyFont="1" applyFill="1" applyBorder="1" applyAlignment="1">
      <alignment horizontal="right"/>
    </xf>
    <xf numFmtId="39" fontId="5" fillId="29" borderId="1" xfId="14" applyNumberFormat="1" applyFont="1" applyFill="1" applyBorder="1"/>
    <xf numFmtId="39" fontId="8" fillId="29" borderId="1" xfId="14" applyNumberFormat="1" applyFont="1" applyFill="1" applyBorder="1" applyAlignment="1">
      <alignment horizontal="right" vertical="center" wrapText="1"/>
    </xf>
    <xf numFmtId="39" fontId="101" fillId="3" borderId="1" xfId="14" applyNumberFormat="1" applyFont="1" applyFill="1" applyBorder="1" applyAlignment="1">
      <alignment horizontal="right"/>
    </xf>
    <xf numFmtId="39" fontId="5" fillId="29" borderId="1" xfId="14" applyNumberFormat="1" applyFont="1" applyFill="1" applyBorder="1" applyAlignment="1">
      <alignment horizontal="center" vertical="center"/>
    </xf>
    <xf numFmtId="39" fontId="110" fillId="29" borderId="1" xfId="14" applyNumberFormat="1" applyFont="1" applyFill="1" applyBorder="1" applyAlignment="1">
      <alignment horizontal="right"/>
    </xf>
    <xf numFmtId="39" fontId="5" fillId="23" borderId="1" xfId="14" applyNumberFormat="1" applyFont="1" applyFill="1" applyBorder="1" applyAlignment="1">
      <alignment wrapText="1"/>
    </xf>
    <xf numFmtId="0" fontId="108" fillId="0" borderId="5" xfId="14" applyFont="1" applyFill="1" applyBorder="1"/>
    <xf numFmtId="0" fontId="108" fillId="0" borderId="1" xfId="14" applyFont="1" applyFill="1" applyBorder="1" applyAlignment="1">
      <alignment horizontal="center" vertical="center"/>
    </xf>
    <xf numFmtId="0" fontId="108" fillId="3" borderId="0" xfId="14" applyFont="1" applyFill="1" applyBorder="1" applyAlignment="1">
      <alignment horizontal="center" vertical="center"/>
    </xf>
    <xf numFmtId="0" fontId="108" fillId="0" borderId="0" xfId="14" applyFont="1" applyFill="1" applyBorder="1"/>
    <xf numFmtId="10" fontId="4" fillId="0" borderId="8" xfId="14" applyNumberFormat="1" applyFont="1" applyFill="1" applyBorder="1" applyAlignment="1">
      <alignment horizontal="center" vertical="center" wrapText="1"/>
    </xf>
    <xf numFmtId="175" fontId="15" fillId="0" borderId="1" xfId="7" applyNumberFormat="1" applyFont="1" applyFill="1" applyBorder="1" applyAlignment="1">
      <alignment horizontal="center" vertical="center"/>
    </xf>
    <xf numFmtId="4" fontId="1" fillId="0" borderId="0" xfId="14" applyNumberFormat="1" applyFont="1" applyFill="1" applyBorder="1" applyAlignment="1" applyProtection="1">
      <alignment horizontal="center"/>
    </xf>
    <xf numFmtId="0" fontId="4" fillId="0" borderId="2" xfId="14" applyFont="1" applyFill="1" applyBorder="1"/>
    <xf numFmtId="0" fontId="5" fillId="0" borderId="0" xfId="14" applyFont="1" applyFill="1" applyBorder="1"/>
    <xf numFmtId="39" fontId="5" fillId="0" borderId="0" xfId="14" applyNumberFormat="1" applyFont="1" applyFill="1" applyBorder="1"/>
    <xf numFmtId="0" fontId="5" fillId="3" borderId="0" xfId="14" applyFont="1" applyFill="1" applyBorder="1"/>
    <xf numFmtId="0" fontId="5" fillId="4" borderId="4" xfId="14" applyFont="1" applyFill="1" applyBorder="1"/>
    <xf numFmtId="0" fontId="5" fillId="0" borderId="4" xfId="14" applyFont="1" applyFill="1" applyBorder="1"/>
    <xf numFmtId="0" fontId="5" fillId="20" borderId="0" xfId="14" applyFont="1" applyFill="1" applyBorder="1"/>
    <xf numFmtId="176" fontId="5" fillId="0" borderId="4" xfId="14" applyNumberFormat="1" applyFont="1" applyFill="1" applyBorder="1"/>
    <xf numFmtId="0" fontId="101" fillId="3" borderId="4" xfId="14" applyFont="1" applyFill="1" applyBorder="1"/>
    <xf numFmtId="0" fontId="5" fillId="0" borderId="4" xfId="14" applyFont="1" applyFill="1" applyBorder="1" applyAlignment="1">
      <alignment horizontal="center" vertical="center"/>
    </xf>
    <xf numFmtId="0" fontId="5" fillId="0" borderId="9" xfId="14" applyFont="1" applyFill="1" applyBorder="1" applyAlignment="1">
      <alignment horizontal="center" vertical="center" wrapText="1"/>
    </xf>
    <xf numFmtId="0" fontId="108" fillId="0" borderId="0" xfId="14" applyFont="1" applyFill="1" applyBorder="1" applyAlignment="1">
      <alignment horizontal="center" vertical="center"/>
    </xf>
    <xf numFmtId="0" fontId="111" fillId="4" borderId="12" xfId="14" applyFont="1" applyFill="1" applyBorder="1" applyAlignment="1">
      <alignment vertical="center"/>
    </xf>
    <xf numFmtId="0" fontId="111" fillId="4" borderId="1" xfId="14" applyFont="1" applyFill="1" applyBorder="1" applyAlignment="1">
      <alignment vertical="center"/>
    </xf>
    <xf numFmtId="4" fontId="1" fillId="3" borderId="0" xfId="14" applyNumberFormat="1" applyFont="1" applyFill="1" applyBorder="1" applyAlignment="1" applyProtection="1">
      <alignment horizontal="center"/>
    </xf>
    <xf numFmtId="39" fontId="5" fillId="3" borderId="0" xfId="14" applyNumberFormat="1" applyFont="1" applyFill="1" applyBorder="1"/>
    <xf numFmtId="39" fontId="5" fillId="4" borderId="9" xfId="14" applyNumberFormat="1" applyFont="1" applyFill="1" applyBorder="1" applyAlignment="1">
      <alignment horizontal="center" vertical="center" wrapText="1"/>
    </xf>
    <xf numFmtId="0" fontId="8" fillId="4" borderId="9" xfId="14" applyNumberFormat="1" applyFont="1" applyFill="1" applyBorder="1" applyAlignment="1">
      <alignment horizontal="center" vertical="center" wrapText="1" readingOrder="1"/>
    </xf>
    <xf numFmtId="0" fontId="8" fillId="4" borderId="4" xfId="14" applyNumberFormat="1" applyFont="1" applyFill="1" applyBorder="1" applyAlignment="1">
      <alignment horizontal="center" vertical="center" wrapText="1" readingOrder="1"/>
    </xf>
    <xf numFmtId="39" fontId="5" fillId="4" borderId="4" xfId="14" applyNumberFormat="1" applyFont="1" applyFill="1" applyBorder="1" applyAlignment="1">
      <alignment horizontal="center" vertical="center" wrapText="1"/>
    </xf>
    <xf numFmtId="0" fontId="5" fillId="4" borderId="4" xfId="14" applyFont="1" applyFill="1" applyBorder="1" applyAlignment="1">
      <alignment horizontal="center" vertical="center" wrapText="1"/>
    </xf>
    <xf numFmtId="0" fontId="112" fillId="4" borderId="6" xfId="0" applyFont="1" applyFill="1" applyBorder="1" applyAlignment="1">
      <alignment horizontal="center" vertical="center" wrapText="1"/>
    </xf>
    <xf numFmtId="4" fontId="8" fillId="3" borderId="0" xfId="14" applyNumberFormat="1" applyFont="1" applyFill="1" applyBorder="1" applyAlignment="1" applyProtection="1">
      <alignment horizontal="center" vertical="center"/>
    </xf>
    <xf numFmtId="0" fontId="101" fillId="4" borderId="0" xfId="14" applyFont="1" applyFill="1" applyBorder="1" applyAlignment="1">
      <alignment horizontal="center" vertical="center"/>
    </xf>
    <xf numFmtId="0" fontId="5" fillId="3" borderId="0" xfId="14" applyFont="1" applyFill="1" applyBorder="1" applyAlignment="1">
      <alignment horizontal="center" vertical="center"/>
    </xf>
    <xf numFmtId="0" fontId="8" fillId="3" borderId="0" xfId="14" applyNumberFormat="1" applyFont="1" applyFill="1" applyBorder="1" applyAlignment="1">
      <alignment horizontal="center" vertical="center" wrapText="1" readingOrder="1"/>
    </xf>
    <xf numFmtId="39" fontId="103" fillId="3" borderId="1" xfId="14" applyNumberFormat="1" applyFont="1" applyFill="1" applyBorder="1" applyAlignment="1">
      <alignment horizontal="center" vertical="center"/>
    </xf>
    <xf numFmtId="10" fontId="17" fillId="30" borderId="1" xfId="17" applyNumberFormat="1" applyFont="1" applyFill="1" applyBorder="1" applyAlignment="1">
      <alignment horizontal="center" vertical="center"/>
    </xf>
    <xf numFmtId="39" fontId="17" fillId="30" borderId="1" xfId="14" applyNumberFormat="1" applyFont="1" applyFill="1" applyBorder="1" applyAlignment="1">
      <alignment horizontal="right" vertical="center"/>
    </xf>
    <xf numFmtId="39" fontId="17" fillId="30" borderId="1" xfId="14" applyNumberFormat="1" applyFont="1" applyFill="1" applyBorder="1" applyAlignment="1">
      <alignment horizontal="center" vertical="center" wrapText="1"/>
    </xf>
    <xf numFmtId="39" fontId="17" fillId="30" borderId="5" xfId="14" applyNumberFormat="1" applyFont="1" applyFill="1" applyBorder="1" applyAlignment="1">
      <alignment horizontal="right" vertical="center"/>
    </xf>
    <xf numFmtId="10" fontId="17" fillId="30" borderId="1" xfId="14" applyNumberFormat="1" applyFont="1" applyFill="1" applyBorder="1" applyAlignment="1">
      <alignment horizontal="center" vertical="center"/>
    </xf>
    <xf numFmtId="10" fontId="5" fillId="3" borderId="0" xfId="14" applyNumberFormat="1" applyFont="1" applyFill="1" applyBorder="1" applyAlignment="1">
      <alignment horizontal="center" vertical="center"/>
    </xf>
    <xf numFmtId="4" fontId="1" fillId="3" borderId="0" xfId="14" applyNumberFormat="1" applyFont="1" applyFill="1" applyBorder="1" applyAlignment="1" applyProtection="1">
      <alignment horizontal="left" vertical="center" wrapText="1"/>
    </xf>
    <xf numFmtId="39" fontId="4" fillId="0" borderId="12" xfId="14" applyNumberFormat="1" applyFont="1" applyFill="1" applyBorder="1"/>
    <xf numFmtId="39" fontId="4" fillId="0" borderId="1" xfId="14" applyNumberFormat="1" applyFont="1" applyFill="1" applyBorder="1"/>
    <xf numFmtId="39" fontId="4" fillId="0" borderId="5" xfId="14" applyNumberFormat="1" applyFont="1" applyFill="1" applyBorder="1"/>
    <xf numFmtId="4" fontId="1" fillId="3" borderId="0" xfId="14" applyNumberFormat="1" applyFont="1" applyFill="1" applyBorder="1" applyAlignment="1" applyProtection="1">
      <alignment horizontal="left" vertical="center"/>
    </xf>
    <xf numFmtId="39" fontId="5" fillId="4" borderId="0" xfId="14" applyNumberFormat="1" applyFont="1" applyFill="1" applyBorder="1"/>
    <xf numFmtId="0" fontId="111" fillId="3" borderId="1" xfId="14" applyFont="1" applyFill="1" applyBorder="1" applyAlignment="1">
      <alignment horizontal="center" vertical="center"/>
    </xf>
    <xf numFmtId="4" fontId="8" fillId="3" borderId="0" xfId="14" applyNumberFormat="1" applyFont="1" applyFill="1" applyBorder="1" applyAlignment="1" applyProtection="1">
      <alignment horizontal="left" vertical="center"/>
    </xf>
    <xf numFmtId="39" fontId="5" fillId="0" borderId="12" xfId="14" applyNumberFormat="1" applyFont="1" applyFill="1" applyBorder="1"/>
    <xf numFmtId="39" fontId="5" fillId="0" borderId="5" xfId="14" applyNumberFormat="1" applyFont="1" applyFill="1" applyBorder="1"/>
    <xf numFmtId="39" fontId="5" fillId="3" borderId="0" xfId="14" applyNumberFormat="1" applyFont="1" applyFill="1" applyBorder="1" applyAlignment="1">
      <alignment vertical="center"/>
    </xf>
    <xf numFmtId="39" fontId="5" fillId="17" borderId="33" xfId="14" applyNumberFormat="1" applyFont="1" applyFill="1" applyBorder="1"/>
    <xf numFmtId="39" fontId="5" fillId="17" borderId="0" xfId="14" applyNumberFormat="1" applyFont="1" applyFill="1" applyBorder="1"/>
    <xf numFmtId="39" fontId="5" fillId="17" borderId="34" xfId="14" applyNumberFormat="1" applyFont="1" applyFill="1" applyBorder="1"/>
    <xf numFmtId="39" fontId="101" fillId="3" borderId="0" xfId="14" applyNumberFormat="1" applyFont="1" applyFill="1" applyBorder="1"/>
    <xf numFmtId="39" fontId="5" fillId="29" borderId="0" xfId="14" applyNumberFormat="1" applyFont="1" applyFill="1" applyBorder="1" applyAlignment="1">
      <alignment horizontal="center" vertical="center"/>
    </xf>
    <xf numFmtId="39" fontId="5" fillId="29" borderId="0" xfId="14" applyNumberFormat="1" applyFont="1" applyFill="1" applyBorder="1"/>
    <xf numFmtId="0" fontId="4" fillId="0" borderId="12" xfId="14" applyFont="1" applyFill="1" applyBorder="1"/>
    <xf numFmtId="0" fontId="4" fillId="0" borderId="1" xfId="14" applyFont="1" applyFill="1" applyBorder="1"/>
    <xf numFmtId="0" fontId="4" fillId="0" borderId="5" xfId="14" applyFont="1" applyFill="1" applyBorder="1"/>
    <xf numFmtId="0" fontId="5" fillId="3" borderId="0" xfId="14" applyFont="1" applyFill="1" applyBorder="1" applyAlignment="1">
      <alignment vertical="center"/>
    </xf>
    <xf numFmtId="0" fontId="5" fillId="4" borderId="0" xfId="14" applyFont="1" applyFill="1" applyBorder="1"/>
    <xf numFmtId="39" fontId="5" fillId="17" borderId="35" xfId="14" applyNumberFormat="1" applyFont="1" applyFill="1" applyBorder="1"/>
    <xf numFmtId="39" fontId="5" fillId="17" borderId="15" xfId="14" applyNumberFormat="1" applyFont="1" applyFill="1" applyBorder="1"/>
    <xf numFmtId="39" fontId="5" fillId="17" borderId="36" xfId="14" applyNumberFormat="1" applyFont="1" applyFill="1" applyBorder="1"/>
    <xf numFmtId="176" fontId="5" fillId="3" borderId="0" xfId="14" applyNumberFormat="1" applyFont="1" applyFill="1" applyBorder="1"/>
    <xf numFmtId="176" fontId="75" fillId="3" borderId="0" xfId="14" applyNumberFormat="1" applyFont="1" applyFill="1" applyBorder="1"/>
    <xf numFmtId="0" fontId="101" fillId="3" borderId="0" xfId="14" applyFont="1" applyFill="1" applyBorder="1"/>
    <xf numFmtId="0" fontId="5" fillId="0" borderId="6" xfId="14" applyFont="1" applyFill="1" applyBorder="1" applyAlignment="1">
      <alignment horizontal="center" vertical="center" wrapText="1"/>
    </xf>
    <xf numFmtId="176" fontId="89" fillId="3" borderId="1" xfId="14" applyNumberFormat="1" applyFont="1" applyFill="1" applyBorder="1" applyAlignment="1">
      <alignment vertical="center" wrapText="1" readingOrder="1"/>
    </xf>
    <xf numFmtId="0" fontId="10" fillId="3" borderId="1" xfId="14" applyNumberFormat="1" applyFont="1" applyFill="1" applyBorder="1" applyAlignment="1">
      <alignment vertical="center" wrapText="1" readingOrder="1"/>
    </xf>
    <xf numFmtId="176" fontId="10" fillId="3" borderId="1" xfId="14" applyNumberFormat="1" applyFont="1" applyFill="1" applyBorder="1" applyAlignment="1">
      <alignment vertical="center" wrapText="1" readingOrder="1"/>
    </xf>
    <xf numFmtId="0" fontId="4" fillId="3" borderId="0" xfId="14" applyFont="1" applyFill="1" applyBorder="1" applyAlignment="1">
      <alignment horizontal="center" vertical="center" wrapText="1"/>
    </xf>
    <xf numFmtId="0" fontId="102" fillId="3" borderId="1" xfId="14" applyFont="1" applyFill="1" applyBorder="1" applyAlignment="1">
      <alignment vertical="center" wrapText="1"/>
    </xf>
    <xf numFmtId="0" fontId="103" fillId="3" borderId="1" xfId="14" applyFont="1" applyFill="1" applyBorder="1" applyAlignment="1">
      <alignment vertical="center" wrapText="1"/>
    </xf>
    <xf numFmtId="0" fontId="101" fillId="3" borderId="0" xfId="14" applyFont="1" applyFill="1" applyBorder="1" applyAlignment="1">
      <alignment horizontal="center" vertical="center" wrapText="1"/>
    </xf>
    <xf numFmtId="0" fontId="112" fillId="3" borderId="0" xfId="0" applyFont="1" applyFill="1" applyBorder="1" applyAlignment="1">
      <alignment horizontal="center" vertical="center" wrapText="1"/>
    </xf>
    <xf numFmtId="0" fontId="12" fillId="3" borderId="0" xfId="14" applyFont="1" applyFill="1" applyBorder="1" applyAlignment="1">
      <alignment horizontal="center" vertical="center"/>
    </xf>
    <xf numFmtId="0" fontId="103" fillId="3" borderId="1" xfId="14" applyFont="1" applyFill="1" applyBorder="1" applyAlignment="1">
      <alignment wrapText="1"/>
    </xf>
    <xf numFmtId="176" fontId="103" fillId="3" borderId="1" xfId="14" applyNumberFormat="1" applyFont="1" applyFill="1" applyBorder="1" applyAlignment="1">
      <alignment wrapText="1"/>
    </xf>
    <xf numFmtId="10" fontId="17" fillId="3" borderId="0" xfId="17" applyNumberFormat="1" applyFont="1" applyFill="1" applyBorder="1" applyAlignment="1">
      <alignment horizontal="center" vertical="center"/>
    </xf>
    <xf numFmtId="39" fontId="17" fillId="3" borderId="0" xfId="14" applyNumberFormat="1" applyFont="1" applyFill="1" applyBorder="1" applyAlignment="1">
      <alignment horizontal="right" vertical="center"/>
    </xf>
    <xf numFmtId="10" fontId="17" fillId="3" borderId="0" xfId="14" applyNumberFormat="1" applyFont="1" applyFill="1" applyBorder="1" applyAlignment="1">
      <alignment horizontal="center" vertical="center"/>
    </xf>
    <xf numFmtId="39" fontId="4" fillId="3" borderId="0" xfId="14" applyNumberFormat="1" applyFont="1" applyFill="1" applyBorder="1"/>
    <xf numFmtId="0" fontId="4" fillId="4" borderId="0" xfId="14" applyFont="1" applyFill="1" applyBorder="1"/>
    <xf numFmtId="0" fontId="5" fillId="3" borderId="1" xfId="14" applyFont="1" applyFill="1" applyBorder="1" applyAlignment="1">
      <alignment wrapText="1"/>
    </xf>
    <xf numFmtId="39" fontId="101" fillId="3" borderId="0" xfId="14" applyNumberFormat="1" applyFont="1" applyFill="1" applyBorder="1" applyAlignment="1">
      <alignment horizontal="right" vertical="center"/>
    </xf>
    <xf numFmtId="39" fontId="4" fillId="0" borderId="0" xfId="14" applyNumberFormat="1" applyFont="1" applyFill="1" applyBorder="1"/>
    <xf numFmtId="39" fontId="5" fillId="3" borderId="0" xfId="14" applyNumberFormat="1" applyFont="1" applyFill="1" applyBorder="1" applyAlignment="1">
      <alignment horizontal="center" vertical="center"/>
    </xf>
    <xf numFmtId="39" fontId="5" fillId="3" borderId="1" xfId="14" applyNumberFormat="1" applyFont="1" applyFill="1" applyBorder="1" applyAlignment="1">
      <alignment horizontal="center" vertical="center"/>
    </xf>
    <xf numFmtId="176" fontId="4" fillId="0" borderId="1" xfId="14" applyNumberFormat="1" applyFont="1" applyFill="1" applyBorder="1"/>
    <xf numFmtId="0" fontId="4" fillId="0" borderId="8" xfId="14" applyFont="1" applyFill="1" applyBorder="1" applyAlignment="1">
      <alignment horizontal="center" vertical="center" wrapText="1"/>
    </xf>
    <xf numFmtId="0" fontId="46" fillId="12" borderId="6" xfId="14" applyNumberFormat="1" applyFont="1" applyFill="1" applyBorder="1" applyAlignment="1">
      <alignment horizontal="center" vertical="center" wrapText="1" readingOrder="1"/>
    </xf>
    <xf numFmtId="39" fontId="6" fillId="3" borderId="1" xfId="14" applyNumberFormat="1" applyFont="1" applyFill="1" applyBorder="1" applyAlignment="1">
      <alignment horizontal="right" vertical="center" wrapText="1" readingOrder="1"/>
    </xf>
    <xf numFmtId="0" fontId="114" fillId="8" borderId="6" xfId="14" applyNumberFormat="1" applyFont="1" applyFill="1" applyBorder="1" applyAlignment="1">
      <alignment horizontal="center" vertical="center" wrapText="1" readingOrder="1"/>
    </xf>
    <xf numFmtId="39" fontId="115" fillId="3" borderId="1" xfId="14" applyNumberFormat="1" applyFont="1" applyFill="1" applyBorder="1" applyAlignment="1">
      <alignment vertical="center" wrapText="1" readingOrder="1"/>
    </xf>
    <xf numFmtId="168" fontId="13" fillId="0" borderId="0" xfId="14" applyNumberFormat="1" applyFont="1" applyFill="1" applyBorder="1"/>
    <xf numFmtId="165" fontId="51" fillId="3" borderId="1" xfId="7" applyFont="1" applyFill="1" applyBorder="1" applyAlignment="1">
      <alignment horizontal="center"/>
    </xf>
    <xf numFmtId="0" fontId="0" fillId="11" borderId="1" xfId="0" applyFill="1" applyBorder="1"/>
    <xf numFmtId="165" fontId="0" fillId="3" borderId="1" xfId="7" applyFont="1" applyFill="1" applyBorder="1"/>
    <xf numFmtId="165" fontId="51" fillId="3" borderId="1" xfId="7" applyFont="1" applyFill="1" applyBorder="1"/>
    <xf numFmtId="165" fontId="116" fillId="0" borderId="1" xfId="7" applyFont="1" applyBorder="1" applyAlignment="1">
      <alignment horizontal="center" vertical="center"/>
    </xf>
    <xf numFmtId="39" fontId="18" fillId="3" borderId="1" xfId="14" applyNumberFormat="1" applyFont="1" applyFill="1" applyBorder="1" applyAlignment="1">
      <alignment horizontal="right" vertical="center"/>
    </xf>
    <xf numFmtId="0" fontId="46" fillId="12" borderId="6" xfId="14" applyNumberFormat="1" applyFont="1" applyFill="1" applyBorder="1" applyAlignment="1">
      <alignment horizontal="center" vertical="center" wrapText="1" readingOrder="1"/>
    </xf>
    <xf numFmtId="0" fontId="5" fillId="0" borderId="0" xfId="14" applyFont="1" applyFill="1" applyBorder="1" applyAlignment="1">
      <alignment horizontal="center"/>
    </xf>
    <xf numFmtId="39" fontId="6" fillId="3" borderId="1" xfId="14" applyNumberFormat="1" applyFont="1" applyFill="1" applyBorder="1" applyAlignment="1">
      <alignment horizontal="right" vertical="center" wrapText="1" readingOrder="1"/>
    </xf>
    <xf numFmtId="0" fontId="46" fillId="12" borderId="6" xfId="14" applyNumberFormat="1" applyFont="1" applyFill="1" applyBorder="1" applyAlignment="1">
      <alignment horizontal="center" vertical="center" wrapText="1" readingOrder="1"/>
    </xf>
    <xf numFmtId="0" fontId="117" fillId="13" borderId="6" xfId="1" applyFont="1" applyFill="1" applyBorder="1" applyAlignment="1">
      <alignment horizontal="center" vertical="center" wrapText="1"/>
    </xf>
    <xf numFmtId="0" fontId="117" fillId="11" borderId="6" xfId="1" applyFont="1" applyFill="1" applyBorder="1" applyAlignment="1">
      <alignment horizontal="center" vertical="center"/>
    </xf>
    <xf numFmtId="0" fontId="89" fillId="13" borderId="6" xfId="0" applyFont="1" applyFill="1" applyBorder="1" applyAlignment="1">
      <alignment horizontal="center" vertical="center" wrapText="1"/>
    </xf>
    <xf numFmtId="14" fontId="89" fillId="13" borderId="6" xfId="0" applyNumberFormat="1" applyFont="1" applyFill="1" applyBorder="1" applyAlignment="1">
      <alignment horizontal="center" vertical="center" wrapText="1"/>
    </xf>
    <xf numFmtId="170" fontId="89" fillId="13" borderId="6" xfId="11" applyNumberFormat="1" applyFont="1" applyFill="1" applyBorder="1" applyAlignment="1">
      <alignment horizontal="center" vertical="center" wrapText="1"/>
    </xf>
    <xf numFmtId="44" fontId="89" fillId="13" borderId="6" xfId="11" applyNumberFormat="1" applyFont="1" applyFill="1" applyBorder="1" applyAlignment="1">
      <alignment horizontal="center" vertical="center" wrapText="1"/>
    </xf>
    <xf numFmtId="0" fontId="89" fillId="13" borderId="16" xfId="0" applyFont="1" applyFill="1" applyBorder="1" applyAlignment="1">
      <alignment horizontal="center" vertical="center" wrapText="1"/>
    </xf>
    <xf numFmtId="0" fontId="118"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1" xfId="0" applyFont="1" applyFill="1" applyBorder="1" applyAlignment="1">
      <alignment vertical="center" wrapText="1"/>
    </xf>
    <xf numFmtId="14" fontId="17" fillId="3" borderId="1" xfId="0" applyNumberFormat="1" applyFont="1" applyFill="1" applyBorder="1" applyAlignment="1">
      <alignment horizontal="center" vertical="center" wrapText="1"/>
    </xf>
    <xf numFmtId="172" fontId="17" fillId="3" borderId="1" xfId="0" applyNumberFormat="1" applyFont="1" applyFill="1" applyBorder="1" applyAlignment="1">
      <alignment horizontal="center" vertical="center" wrapText="1"/>
    </xf>
    <xf numFmtId="171" fontId="119" fillId="3" borderId="1" xfId="3" applyNumberFormat="1" applyFont="1" applyFill="1" applyBorder="1" applyAlignment="1">
      <alignment horizontal="right" vertical="center" wrapText="1"/>
    </xf>
    <xf numFmtId="44" fontId="119" fillId="3" borderId="1" xfId="11" applyNumberFormat="1" applyFont="1" applyFill="1" applyBorder="1" applyAlignment="1">
      <alignment horizontal="center" vertical="center" wrapText="1"/>
    </xf>
    <xf numFmtId="0" fontId="17" fillId="4" borderId="12" xfId="0" applyFont="1" applyFill="1" applyBorder="1" applyAlignment="1">
      <alignment horizontal="center" vertical="center" wrapText="1"/>
    </xf>
    <xf numFmtId="0" fontId="0" fillId="0" borderId="1" xfId="0" applyBorder="1"/>
    <xf numFmtId="44" fontId="120" fillId="0" borderId="0" xfId="11" applyFont="1" applyFill="1" applyAlignment="1">
      <alignment horizontal="right" vertical="center" wrapText="1"/>
    </xf>
    <xf numFmtId="166" fontId="121" fillId="13" borderId="6" xfId="3" applyFont="1" applyFill="1" applyBorder="1" applyAlignment="1">
      <alignment horizontal="center" vertical="center" wrapText="1"/>
    </xf>
    <xf numFmtId="0" fontId="121" fillId="13" borderId="6" xfId="1" applyFont="1" applyFill="1" applyBorder="1" applyAlignment="1">
      <alignment horizontal="center" vertical="center" wrapText="1"/>
    </xf>
    <xf numFmtId="39" fontId="10" fillId="3" borderId="1" xfId="14" applyNumberFormat="1" applyFont="1" applyFill="1" applyBorder="1" applyAlignment="1">
      <alignment horizontal="center" vertical="center" wrapText="1"/>
    </xf>
    <xf numFmtId="39" fontId="122" fillId="3" borderId="1" xfId="14" applyNumberFormat="1" applyFont="1" applyFill="1" applyBorder="1" applyAlignment="1">
      <alignment horizontal="right" vertical="center" wrapText="1" readingOrder="1"/>
    </xf>
    <xf numFmtId="39" fontId="17" fillId="3" borderId="1" xfId="14" applyNumberFormat="1" applyFont="1" applyFill="1" applyBorder="1" applyAlignment="1">
      <alignment horizontal="right" vertical="center" wrapText="1"/>
    </xf>
    <xf numFmtId="39" fontId="17" fillId="30" borderId="1" xfId="14" applyNumberFormat="1" applyFont="1" applyFill="1" applyBorder="1" applyAlignment="1">
      <alignment horizontal="right" vertical="center" wrapText="1"/>
    </xf>
    <xf numFmtId="0" fontId="27" fillId="30" borderId="0" xfId="0" applyFont="1" applyFill="1" applyBorder="1" applyAlignment="1">
      <alignment vertical="center"/>
    </xf>
    <xf numFmtId="0" fontId="57" fillId="30" borderId="0" xfId="0" applyFont="1" applyFill="1" applyBorder="1" applyAlignment="1">
      <alignment horizontal="center" vertical="center"/>
    </xf>
    <xf numFmtId="0" fontId="27" fillId="30" borderId="0" xfId="0" applyFont="1" applyFill="1" applyAlignment="1">
      <alignment vertical="center"/>
    </xf>
    <xf numFmtId="44" fontId="27" fillId="30" borderId="0" xfId="0" applyNumberFormat="1" applyFont="1" applyFill="1" applyAlignment="1">
      <alignment vertical="center"/>
    </xf>
    <xf numFmtId="173" fontId="27" fillId="30" borderId="0" xfId="0" applyNumberFormat="1" applyFont="1" applyFill="1" applyAlignment="1">
      <alignment vertical="center"/>
    </xf>
    <xf numFmtId="0" fontId="0" fillId="30" borderId="0" xfId="0" applyFill="1"/>
    <xf numFmtId="0" fontId="50" fillId="4" borderId="37" xfId="1" applyFont="1" applyFill="1" applyBorder="1" applyAlignment="1">
      <alignment horizontal="center" vertical="center" wrapText="1"/>
    </xf>
    <xf numFmtId="0" fontId="123" fillId="3" borderId="1" xfId="0" applyFont="1" applyFill="1" applyBorder="1"/>
    <xf numFmtId="0" fontId="27" fillId="3" borderId="1" xfId="0" applyFont="1" applyFill="1" applyBorder="1" applyAlignment="1">
      <alignment vertical="center"/>
    </xf>
    <xf numFmtId="0" fontId="124" fillId="0" borderId="1" xfId="0" applyFont="1" applyFill="1" applyBorder="1" applyAlignment="1">
      <alignment horizontal="center" vertical="center" wrapText="1"/>
    </xf>
    <xf numFmtId="0" fontId="29" fillId="3" borderId="1" xfId="0" applyFont="1" applyFill="1" applyBorder="1"/>
    <xf numFmtId="0" fontId="17" fillId="11" borderId="1" xfId="0" applyFont="1" applyFill="1" applyBorder="1" applyAlignment="1">
      <alignment vertical="center" wrapText="1"/>
    </xf>
    <xf numFmtId="0" fontId="17" fillId="3" borderId="12" xfId="0" applyFont="1" applyFill="1" applyBorder="1" applyAlignment="1">
      <alignment horizontal="center" vertical="center" wrapText="1"/>
    </xf>
    <xf numFmtId="39" fontId="19" fillId="28" borderId="1" xfId="14" applyNumberFormat="1" applyFont="1" applyFill="1" applyBorder="1" applyAlignment="1">
      <alignment horizontal="right" vertical="center" wrapText="1" readingOrder="1"/>
    </xf>
    <xf numFmtId="39" fontId="19" fillId="28" borderId="1" xfId="14" applyNumberFormat="1" applyFont="1" applyFill="1" applyBorder="1" applyAlignment="1">
      <alignment horizontal="right" vertical="center"/>
    </xf>
    <xf numFmtId="10" fontId="19" fillId="28" borderId="1" xfId="17" applyNumberFormat="1" applyFont="1" applyFill="1" applyBorder="1" applyAlignment="1">
      <alignment horizontal="center" vertical="center"/>
    </xf>
    <xf numFmtId="39" fontId="19" fillId="28" borderId="1" xfId="14" applyNumberFormat="1" applyFont="1" applyFill="1" applyBorder="1" applyAlignment="1">
      <alignment horizontal="center" vertical="center" wrapText="1"/>
    </xf>
    <xf numFmtId="39" fontId="19" fillId="28" borderId="5" xfId="14" applyNumberFormat="1" applyFont="1" applyFill="1" applyBorder="1" applyAlignment="1">
      <alignment horizontal="right" vertical="center"/>
    </xf>
    <xf numFmtId="10" fontId="19" fillId="28" borderId="1" xfId="14" applyNumberFormat="1" applyFont="1" applyFill="1" applyBorder="1" applyAlignment="1">
      <alignment horizontal="center" vertical="center"/>
    </xf>
    <xf numFmtId="39" fontId="18" fillId="9" borderId="1" xfId="14" applyNumberFormat="1" applyFont="1" applyFill="1" applyBorder="1" applyAlignment="1">
      <alignment horizontal="right" vertical="center" wrapText="1" readingOrder="1"/>
    </xf>
    <xf numFmtId="39" fontId="18" fillId="9" borderId="1" xfId="14" applyNumberFormat="1" applyFont="1" applyFill="1" applyBorder="1" applyAlignment="1">
      <alignment vertical="center" wrapText="1" readingOrder="1"/>
    </xf>
    <xf numFmtId="171" fontId="119" fillId="4" borderId="1" xfId="3" applyNumberFormat="1" applyFont="1" applyFill="1" applyBorder="1" applyAlignment="1">
      <alignment horizontal="right" vertical="center" wrapText="1"/>
    </xf>
    <xf numFmtId="44" fontId="119" fillId="4" borderId="1" xfId="11" applyNumberFormat="1" applyFont="1" applyFill="1" applyBorder="1" applyAlignment="1">
      <alignment horizontal="center" vertical="center" wrapText="1"/>
    </xf>
    <xf numFmtId="10" fontId="4" fillId="3" borderId="1" xfId="17" applyNumberFormat="1" applyFont="1" applyFill="1" applyBorder="1" applyAlignment="1">
      <alignment horizontal="center" vertical="center" wrapText="1"/>
    </xf>
    <xf numFmtId="0" fontId="7" fillId="9" borderId="1" xfId="14" applyNumberFormat="1" applyFont="1" applyFill="1" applyBorder="1" applyAlignment="1">
      <alignment horizontal="right" vertical="center" wrapText="1" readingOrder="1"/>
    </xf>
    <xf numFmtId="0" fontId="0" fillId="4" borderId="0" xfId="0" applyFill="1"/>
    <xf numFmtId="39" fontId="18" fillId="31" borderId="1" xfId="14" applyNumberFormat="1" applyFont="1" applyFill="1" applyBorder="1" applyAlignment="1">
      <alignment horizontal="right" vertical="center"/>
    </xf>
    <xf numFmtId="39" fontId="19" fillId="31" borderId="1" xfId="14" applyNumberFormat="1" applyFont="1" applyFill="1" applyBorder="1" applyAlignment="1">
      <alignment vertical="center" wrapText="1" readingOrder="1"/>
    </xf>
    <xf numFmtId="39" fontId="19" fillId="31" borderId="1" xfId="14" applyNumberFormat="1" applyFont="1" applyFill="1" applyBorder="1" applyAlignment="1">
      <alignment horizontal="right" vertical="center"/>
    </xf>
    <xf numFmtId="0" fontId="19" fillId="31" borderId="1" xfId="14" applyNumberFormat="1" applyFont="1" applyFill="1" applyBorder="1" applyAlignment="1">
      <alignment horizontal="left" vertical="center" wrapText="1" readingOrder="1"/>
    </xf>
    <xf numFmtId="39" fontId="19" fillId="31" borderId="1" xfId="14" applyNumberFormat="1" applyFont="1" applyFill="1" applyBorder="1" applyAlignment="1">
      <alignment horizontal="right" vertical="center" wrapText="1"/>
    </xf>
    <xf numFmtId="39" fontId="15" fillId="31" borderId="1" xfId="14" applyNumberFormat="1" applyFont="1" applyFill="1" applyBorder="1" applyAlignment="1">
      <alignment horizontal="right" vertical="center"/>
    </xf>
    <xf numFmtId="39" fontId="17" fillId="31" borderId="1" xfId="14" applyNumberFormat="1" applyFont="1" applyFill="1" applyBorder="1" applyAlignment="1">
      <alignment horizontal="right" vertical="center" wrapText="1"/>
    </xf>
    <xf numFmtId="39" fontId="42" fillId="9" borderId="1" xfId="14" applyNumberFormat="1" applyFont="1" applyFill="1" applyBorder="1" applyAlignment="1">
      <alignment horizontal="right" vertical="center" wrapText="1" readingOrder="1"/>
    </xf>
    <xf numFmtId="176" fontId="45" fillId="12" borderId="0" xfId="14" applyNumberFormat="1" applyFont="1" applyFill="1" applyBorder="1" applyAlignment="1">
      <alignment horizontal="center" vertical="center" wrapText="1" readingOrder="1"/>
    </xf>
    <xf numFmtId="173" fontId="125" fillId="12" borderId="0" xfId="7" applyNumberFormat="1" applyFont="1" applyFill="1" applyBorder="1" applyAlignment="1">
      <alignment horizontal="center" vertical="center" wrapText="1" readingOrder="1"/>
    </xf>
    <xf numFmtId="165" fontId="97" fillId="32" borderId="0" xfId="7" applyFont="1" applyFill="1" applyBorder="1" applyAlignment="1">
      <alignment horizontal="center" vertical="center"/>
    </xf>
    <xf numFmtId="180" fontId="17" fillId="3" borderId="1" xfId="0" applyNumberFormat="1" applyFont="1" applyFill="1" applyBorder="1" applyAlignment="1">
      <alignment horizontal="center" vertical="center" wrapText="1"/>
    </xf>
    <xf numFmtId="39" fontId="19" fillId="32" borderId="1" xfId="14" applyNumberFormat="1" applyFont="1" applyFill="1" applyBorder="1" applyAlignment="1">
      <alignment horizontal="right" vertical="center"/>
    </xf>
    <xf numFmtId="39" fontId="17" fillId="4" borderId="1" xfId="14" applyNumberFormat="1" applyFont="1" applyFill="1" applyBorder="1" applyAlignment="1">
      <alignment horizontal="right" vertical="center" wrapText="1"/>
    </xf>
    <xf numFmtId="0" fontId="127" fillId="0" borderId="0" xfId="0" applyFont="1" applyAlignment="1">
      <alignment horizontal="center" vertical="center" wrapText="1"/>
    </xf>
    <xf numFmtId="0" fontId="128" fillId="27" borderId="1" xfId="14" applyNumberFormat="1" applyFont="1" applyFill="1" applyBorder="1" applyAlignment="1">
      <alignment horizontal="center" vertical="center" wrapText="1" readingOrder="1"/>
    </xf>
    <xf numFmtId="39" fontId="6" fillId="3" borderId="1" xfId="14" applyNumberFormat="1" applyFont="1" applyFill="1" applyBorder="1" applyAlignment="1">
      <alignment horizontal="right" vertical="center" wrapText="1" readingOrder="1"/>
    </xf>
    <xf numFmtId="39" fontId="89" fillId="9" borderId="1" xfId="14" applyNumberFormat="1" applyFont="1" applyFill="1" applyBorder="1" applyAlignment="1">
      <alignment horizontal="right" vertical="center" wrapText="1" readingOrder="1"/>
    </xf>
    <xf numFmtId="39" fontId="89" fillId="4" borderId="1" xfId="14" applyNumberFormat="1" applyFont="1" applyFill="1" applyBorder="1" applyAlignment="1">
      <alignment horizontal="right" vertical="center" wrapText="1" readingOrder="1"/>
    </xf>
    <xf numFmtId="0" fontId="133" fillId="4" borderId="0" xfId="0" applyFont="1" applyFill="1"/>
    <xf numFmtId="176" fontId="133" fillId="4" borderId="0" xfId="0" applyNumberFormat="1" applyFont="1" applyFill="1"/>
    <xf numFmtId="0" fontId="64" fillId="0" borderId="1" xfId="3" applyNumberFormat="1" applyFont="1" applyBorder="1" applyAlignment="1">
      <alignment horizontal="left" wrapText="1"/>
    </xf>
    <xf numFmtId="0" fontId="0" fillId="0" borderId="1" xfId="0" applyFont="1" applyBorder="1" applyAlignment="1">
      <alignment wrapText="1"/>
    </xf>
    <xf numFmtId="0" fontId="53" fillId="0" borderId="1" xfId="0" applyFont="1" applyBorder="1" applyAlignment="1">
      <alignment horizontal="center" vertical="center" wrapText="1"/>
    </xf>
    <xf numFmtId="0" fontId="65" fillId="0" borderId="1" xfId="3" applyNumberFormat="1" applyFont="1" applyBorder="1" applyAlignment="1">
      <alignment horizontal="center" vertical="center" wrapText="1"/>
    </xf>
    <xf numFmtId="175" fontId="136" fillId="0" borderId="1" xfId="7" applyNumberFormat="1" applyFont="1" applyBorder="1" applyAlignment="1">
      <alignment horizontal="left" wrapText="1"/>
    </xf>
    <xf numFmtId="0" fontId="135" fillId="0" borderId="1" xfId="0" applyFont="1" applyBorder="1" applyAlignment="1">
      <alignment wrapText="1"/>
    </xf>
    <xf numFmtId="0" fontId="127" fillId="4" borderId="1" xfId="0" applyFont="1" applyFill="1" applyBorder="1" applyAlignment="1">
      <alignment wrapText="1"/>
    </xf>
    <xf numFmtId="175" fontId="136" fillId="4" borderId="1" xfId="7" applyNumberFormat="1" applyFont="1" applyFill="1" applyBorder="1" applyAlignment="1">
      <alignment horizontal="left" wrapText="1"/>
    </xf>
    <xf numFmtId="168" fontId="51" fillId="0" borderId="1" xfId="0" applyNumberFormat="1" applyFont="1" applyBorder="1" applyAlignment="1">
      <alignment wrapText="1"/>
    </xf>
    <xf numFmtId="175" fontId="127" fillId="0" borderId="1" xfId="7" applyNumberFormat="1" applyFont="1" applyBorder="1" applyAlignment="1">
      <alignment wrapText="1"/>
    </xf>
    <xf numFmtId="0" fontId="117" fillId="13" borderId="9" xfId="1" applyFont="1" applyFill="1" applyBorder="1" applyAlignment="1">
      <alignment horizontal="center" vertical="center" wrapText="1"/>
    </xf>
    <xf numFmtId="173" fontId="51" fillId="3" borderId="0" xfId="0" applyNumberFormat="1" applyFont="1" applyFill="1" applyBorder="1" applyAlignment="1">
      <alignment horizontal="center" vertical="center" wrapText="1"/>
    </xf>
    <xf numFmtId="0" fontId="51" fillId="3" borderId="0" xfId="0" applyFont="1" applyFill="1" applyBorder="1" applyAlignment="1">
      <alignment horizontal="center" vertical="center" wrapText="1"/>
    </xf>
    <xf numFmtId="0" fontId="131" fillId="3" borderId="1" xfId="0" applyFont="1" applyFill="1" applyBorder="1" applyAlignment="1">
      <alignment horizontal="center" vertical="center" wrapText="1"/>
    </xf>
    <xf numFmtId="0" fontId="131" fillId="3" borderId="12" xfId="0" applyFont="1" applyFill="1" applyBorder="1" applyAlignment="1">
      <alignment horizontal="center" vertical="center" wrapText="1"/>
    </xf>
    <xf numFmtId="0" fontId="131" fillId="3" borderId="1" xfId="0" applyFont="1" applyFill="1" applyBorder="1" applyAlignment="1">
      <alignment vertical="center" wrapText="1"/>
    </xf>
    <xf numFmtId="14" fontId="131" fillId="3" borderId="1" xfId="0" applyNumberFormat="1" applyFont="1" applyFill="1" applyBorder="1" applyAlignment="1">
      <alignment horizontal="center" vertical="center" wrapText="1"/>
    </xf>
    <xf numFmtId="172" fontId="131" fillId="3" borderId="1" xfId="0" applyNumberFormat="1" applyFont="1" applyFill="1" applyBorder="1" applyAlignment="1">
      <alignment horizontal="center" vertical="center" wrapText="1"/>
    </xf>
    <xf numFmtId="171" fontId="132" fillId="3" borderId="1" xfId="3" applyNumberFormat="1" applyFont="1" applyFill="1" applyBorder="1" applyAlignment="1">
      <alignment horizontal="right" vertical="center" wrapText="1"/>
    </xf>
    <xf numFmtId="44" fontId="132" fillId="3" borderId="1" xfId="11" applyNumberFormat="1" applyFont="1" applyFill="1" applyBorder="1" applyAlignment="1">
      <alignment horizontal="center" vertical="center" wrapText="1"/>
    </xf>
    <xf numFmtId="14" fontId="17" fillId="4" borderId="1" xfId="0" applyNumberFormat="1" applyFont="1" applyFill="1" applyBorder="1" applyAlignment="1">
      <alignment horizontal="center" vertical="center" wrapText="1"/>
    </xf>
    <xf numFmtId="172" fontId="17" fillId="4"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1" xfId="0" applyFont="1" applyFill="1" applyBorder="1" applyAlignment="1">
      <alignment vertical="center" wrapText="1"/>
    </xf>
    <xf numFmtId="0" fontId="17" fillId="3" borderId="12" xfId="0" applyFont="1" applyFill="1" applyBorder="1" applyAlignment="1">
      <alignment horizontal="center" vertical="center" wrapText="1"/>
    </xf>
    <xf numFmtId="165" fontId="51" fillId="3" borderId="0" xfId="7" applyFont="1" applyFill="1" applyBorder="1" applyAlignment="1">
      <alignment horizontal="center"/>
    </xf>
    <xf numFmtId="165" fontId="51" fillId="3" borderId="0" xfId="7" applyFont="1" applyFill="1" applyBorder="1" applyAlignment="1">
      <alignment horizontal="center" vertical="center" wrapText="1"/>
    </xf>
    <xf numFmtId="0" fontId="118" fillId="9"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7" fillId="9" borderId="12" xfId="0" applyFont="1" applyFill="1" applyBorder="1" applyAlignment="1">
      <alignment horizontal="center" vertical="center" wrapText="1"/>
    </xf>
    <xf numFmtId="0" fontId="17" fillId="9" borderId="1" xfId="0" applyFont="1" applyFill="1" applyBorder="1" applyAlignment="1">
      <alignment vertical="center" wrapText="1"/>
    </xf>
    <xf numFmtId="14" fontId="17" fillId="9" borderId="1" xfId="0" applyNumberFormat="1" applyFont="1" applyFill="1" applyBorder="1" applyAlignment="1">
      <alignment horizontal="center" vertical="center" wrapText="1"/>
    </xf>
    <xf numFmtId="172" fontId="17" fillId="9" borderId="1" xfId="0" applyNumberFormat="1" applyFont="1" applyFill="1" applyBorder="1" applyAlignment="1">
      <alignment horizontal="center" vertical="center" wrapText="1"/>
    </xf>
    <xf numFmtId="171" fontId="119" fillId="9" borderId="1" xfId="3" applyNumberFormat="1" applyFont="1" applyFill="1" applyBorder="1" applyAlignment="1">
      <alignment horizontal="right" vertical="center" wrapText="1"/>
    </xf>
    <xf numFmtId="44" fontId="119" fillId="9" borderId="1" xfId="11" applyNumberFormat="1" applyFont="1" applyFill="1" applyBorder="1" applyAlignment="1">
      <alignment horizontal="center" vertical="center" wrapText="1"/>
    </xf>
    <xf numFmtId="0" fontId="137" fillId="9" borderId="1" xfId="0" applyFont="1" applyFill="1" applyBorder="1" applyAlignment="1">
      <alignment horizontal="center" vertical="center" wrapText="1"/>
    </xf>
    <xf numFmtId="44" fontId="10" fillId="9" borderId="1" xfId="1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 xfId="0" applyFont="1" applyFill="1" applyBorder="1" applyAlignment="1">
      <alignment vertical="center" wrapText="1"/>
    </xf>
    <xf numFmtId="14" fontId="17" fillId="0" borderId="1" xfId="0" applyNumberFormat="1" applyFont="1" applyFill="1" applyBorder="1" applyAlignment="1">
      <alignment horizontal="center" vertical="center" wrapText="1"/>
    </xf>
    <xf numFmtId="172" fontId="17" fillId="0" borderId="1" xfId="0" applyNumberFormat="1" applyFont="1" applyFill="1" applyBorder="1" applyAlignment="1">
      <alignment horizontal="center" vertical="center" wrapText="1"/>
    </xf>
    <xf numFmtId="171" fontId="119" fillId="0" borderId="1" xfId="3" applyNumberFormat="1" applyFont="1" applyFill="1" applyBorder="1" applyAlignment="1">
      <alignment horizontal="right" vertical="center" wrapText="1"/>
    </xf>
    <xf numFmtId="44" fontId="119" fillId="0" borderId="1" xfId="11" applyNumberFormat="1" applyFont="1" applyFill="1" applyBorder="1" applyAlignment="1">
      <alignment horizontal="center" vertical="center" wrapText="1"/>
    </xf>
    <xf numFmtId="0" fontId="137" fillId="0" borderId="1" xfId="0" applyFont="1" applyFill="1" applyBorder="1" applyAlignment="1">
      <alignment horizontal="center" vertical="center" wrapText="1"/>
    </xf>
    <xf numFmtId="15" fontId="138" fillId="0" borderId="1" xfId="0" applyNumberFormat="1" applyFont="1" applyFill="1" applyBorder="1" applyAlignment="1">
      <alignment horizontal="center" vertical="center" wrapText="1"/>
    </xf>
    <xf numFmtId="0" fontId="138" fillId="0" borderId="1" xfId="0" applyFont="1" applyFill="1" applyBorder="1" applyAlignment="1">
      <alignment horizontal="left" vertical="center" wrapText="1"/>
    </xf>
    <xf numFmtId="0" fontId="138" fillId="0" borderId="1" xfId="0" applyFont="1" applyFill="1" applyBorder="1" applyAlignment="1">
      <alignment horizontal="center" vertical="center" wrapText="1"/>
    </xf>
    <xf numFmtId="44" fontId="10" fillId="0" borderId="1" xfId="11" applyFont="1" applyFill="1" applyBorder="1" applyAlignment="1">
      <alignment horizontal="center" vertical="center" wrapText="1"/>
    </xf>
    <xf numFmtId="0" fontId="30" fillId="0" borderId="1" xfId="0" applyFont="1" applyFill="1" applyBorder="1"/>
    <xf numFmtId="0" fontId="139" fillId="0" borderId="1" xfId="0" applyFont="1" applyFill="1" applyBorder="1" applyAlignment="1">
      <alignment horizontal="left" vertical="center" wrapText="1"/>
    </xf>
    <xf numFmtId="15" fontId="139" fillId="0" borderId="1" xfId="0" applyNumberFormat="1" applyFont="1" applyFill="1" applyBorder="1" applyAlignment="1">
      <alignment horizontal="center" vertical="center" wrapText="1"/>
    </xf>
    <xf numFmtId="0" fontId="139" fillId="0" borderId="1" xfId="0" applyFont="1" applyFill="1" applyBorder="1" applyAlignment="1">
      <alignment horizontal="center" vertical="center" wrapText="1"/>
    </xf>
    <xf numFmtId="170" fontId="139" fillId="0" borderId="1" xfId="11" applyNumberFormat="1" applyFont="1" applyFill="1" applyBorder="1" applyAlignment="1">
      <alignment horizontal="center" vertical="center" wrapText="1"/>
    </xf>
    <xf numFmtId="0" fontId="118" fillId="0" borderId="1" xfId="0" applyFont="1" applyFill="1" applyBorder="1" applyAlignment="1">
      <alignment horizontal="center" vertical="center" wrapText="1"/>
    </xf>
    <xf numFmtId="0" fontId="0" fillId="0" borderId="1" xfId="0" applyFill="1" applyBorder="1"/>
    <xf numFmtId="44" fontId="52" fillId="9" borderId="1" xfId="11" applyFont="1" applyFill="1" applyBorder="1" applyAlignment="1">
      <alignment horizontal="center" vertical="center" wrapText="1"/>
    </xf>
    <xf numFmtId="44" fontId="10" fillId="9" borderId="1" xfId="11" applyNumberFormat="1" applyFont="1" applyFill="1" applyBorder="1" applyAlignment="1">
      <alignment horizontal="center" vertical="center" wrapText="1"/>
    </xf>
    <xf numFmtId="0" fontId="130" fillId="0" borderId="1" xfId="0" applyFont="1" applyFill="1" applyBorder="1" applyAlignment="1">
      <alignment horizontal="center" vertical="center" wrapText="1"/>
    </xf>
    <xf numFmtId="0" fontId="131" fillId="0" borderId="1" xfId="0" applyFont="1" applyFill="1" applyBorder="1" applyAlignment="1">
      <alignment horizontal="center" vertical="center" wrapText="1"/>
    </xf>
    <xf numFmtId="0" fontId="131" fillId="0" borderId="12" xfId="0" applyFont="1" applyFill="1" applyBorder="1" applyAlignment="1">
      <alignment horizontal="center" vertical="center" wrapText="1"/>
    </xf>
    <xf numFmtId="0" fontId="131" fillId="0" borderId="1" xfId="0" applyFont="1" applyFill="1" applyBorder="1" applyAlignment="1">
      <alignment vertical="center" wrapText="1"/>
    </xf>
    <xf numFmtId="14" fontId="131" fillId="0" borderId="1" xfId="0" applyNumberFormat="1" applyFont="1" applyFill="1" applyBorder="1" applyAlignment="1">
      <alignment horizontal="center" vertical="center" wrapText="1"/>
    </xf>
    <xf numFmtId="172" fontId="131" fillId="0" borderId="1" xfId="0" applyNumberFormat="1" applyFont="1" applyFill="1" applyBorder="1" applyAlignment="1">
      <alignment horizontal="center" vertical="center" wrapText="1"/>
    </xf>
    <xf numFmtId="171" fontId="132" fillId="0" borderId="1" xfId="3" applyNumberFormat="1" applyFont="1" applyFill="1" applyBorder="1" applyAlignment="1">
      <alignment horizontal="right" vertical="center" wrapText="1"/>
    </xf>
    <xf numFmtId="44" fontId="132" fillId="0" borderId="1" xfId="11" applyNumberFormat="1" applyFont="1" applyFill="1" applyBorder="1" applyAlignment="1">
      <alignment horizontal="center" vertical="center" wrapText="1"/>
    </xf>
    <xf numFmtId="0" fontId="0" fillId="9" borderId="0" xfId="0" applyFill="1"/>
    <xf numFmtId="44" fontId="10" fillId="3" borderId="1" xfId="11" applyFont="1" applyFill="1" applyBorder="1" applyAlignment="1">
      <alignment horizontal="center" vertical="center" wrapText="1"/>
    </xf>
    <xf numFmtId="39" fontId="19" fillId="13" borderId="1" xfId="14" applyNumberFormat="1" applyFont="1" applyFill="1" applyBorder="1" applyAlignment="1">
      <alignment horizontal="right" vertical="center" wrapText="1" readingOrder="1"/>
    </xf>
    <xf numFmtId="39" fontId="7" fillId="13" borderId="1" xfId="14" applyNumberFormat="1" applyFont="1" applyFill="1" applyBorder="1" applyAlignment="1">
      <alignment horizontal="right" vertical="center" wrapText="1" readingOrder="1"/>
    </xf>
    <xf numFmtId="44" fontId="90" fillId="13" borderId="0" xfId="11" applyFont="1" applyFill="1" applyAlignment="1">
      <alignment horizontal="right" vertical="center" wrapText="1"/>
    </xf>
    <xf numFmtId="39" fontId="19" fillId="13" borderId="1" xfId="14" applyNumberFormat="1" applyFont="1" applyFill="1" applyBorder="1" applyAlignment="1">
      <alignment horizontal="right" vertical="center"/>
    </xf>
    <xf numFmtId="39" fontId="19" fillId="13" borderId="1" xfId="14" applyNumberFormat="1" applyFont="1" applyFill="1" applyBorder="1" applyAlignment="1">
      <alignment vertical="center" wrapText="1" readingOrder="1"/>
    </xf>
    <xf numFmtId="39" fontId="17" fillId="13" borderId="1" xfId="14" applyNumberFormat="1" applyFont="1" applyFill="1" applyBorder="1" applyAlignment="1">
      <alignment horizontal="right" vertical="center" wrapText="1" readingOrder="1"/>
    </xf>
    <xf numFmtId="39" fontId="17" fillId="13" borderId="1" xfId="14" applyNumberFormat="1" applyFont="1" applyFill="1" applyBorder="1" applyAlignment="1">
      <alignment horizontal="right" vertical="center" wrapText="1"/>
    </xf>
    <xf numFmtId="10" fontId="141" fillId="30" borderId="1" xfId="17" applyNumberFormat="1" applyFont="1" applyFill="1" applyBorder="1" applyAlignment="1">
      <alignment horizontal="center" vertical="center"/>
    </xf>
    <xf numFmtId="10" fontId="15" fillId="4" borderId="1" xfId="14" applyNumberFormat="1" applyFont="1" applyFill="1" applyBorder="1" applyAlignment="1">
      <alignment horizontal="center" vertical="center" wrapText="1"/>
    </xf>
    <xf numFmtId="165" fontId="39" fillId="3" borderId="18" xfId="7" applyFont="1" applyFill="1" applyBorder="1" applyAlignment="1"/>
    <xf numFmtId="0" fontId="131" fillId="4" borderId="1" xfId="0" applyFont="1" applyFill="1" applyBorder="1" applyAlignment="1">
      <alignment horizontal="center" vertical="center" wrapText="1"/>
    </xf>
    <xf numFmtId="0" fontId="131" fillId="4" borderId="12" xfId="0" applyFont="1" applyFill="1" applyBorder="1" applyAlignment="1">
      <alignment horizontal="center" vertical="center" wrapText="1"/>
    </xf>
    <xf numFmtId="0" fontId="131" fillId="4" borderId="1" xfId="0" applyFont="1" applyFill="1" applyBorder="1" applyAlignment="1">
      <alignment vertical="center" wrapText="1"/>
    </xf>
    <xf numFmtId="14" fontId="131" fillId="4" borderId="1" xfId="0" applyNumberFormat="1" applyFont="1" applyFill="1" applyBorder="1" applyAlignment="1">
      <alignment horizontal="center" vertical="center" wrapText="1"/>
    </xf>
    <xf numFmtId="172" fontId="131" fillId="4" borderId="1" xfId="0" applyNumberFormat="1" applyFont="1" applyFill="1" applyBorder="1" applyAlignment="1">
      <alignment horizontal="center" vertical="center" wrapText="1"/>
    </xf>
    <xf numFmtId="171" fontId="132" fillId="4" borderId="1" xfId="3" applyNumberFormat="1" applyFont="1" applyFill="1" applyBorder="1" applyAlignment="1">
      <alignment horizontal="right" vertical="center" wrapText="1"/>
    </xf>
    <xf numFmtId="39" fontId="17" fillId="9" borderId="1" xfId="14" applyNumberFormat="1" applyFont="1" applyFill="1" applyBorder="1" applyAlignment="1">
      <alignment horizontal="right" vertical="center" wrapText="1"/>
    </xf>
    <xf numFmtId="0" fontId="118" fillId="33" borderId="1" xfId="0" applyFont="1" applyFill="1" applyBorder="1" applyAlignment="1">
      <alignment horizontal="center" vertical="center" wrapText="1"/>
    </xf>
    <xf numFmtId="0" fontId="17" fillId="33" borderId="1" xfId="0" applyFont="1" applyFill="1" applyBorder="1" applyAlignment="1">
      <alignment horizontal="center" vertical="center" wrapText="1"/>
    </xf>
    <xf numFmtId="0" fontId="0" fillId="0" borderId="0" xfId="0" applyFill="1"/>
    <xf numFmtId="14" fontId="137" fillId="9" borderId="1" xfId="0" applyNumberFormat="1" applyFont="1" applyFill="1" applyBorder="1" applyAlignment="1">
      <alignment horizontal="center" vertical="center" wrapText="1"/>
    </xf>
    <xf numFmtId="44" fontId="137" fillId="9" borderId="1" xfId="18" applyFont="1" applyFill="1" applyBorder="1" applyAlignment="1">
      <alignment horizontal="center" vertical="center" wrapText="1"/>
    </xf>
    <xf numFmtId="0" fontId="59" fillId="10" borderId="5" xfId="0" applyFont="1" applyFill="1" applyBorder="1" applyAlignment="1">
      <alignment horizontal="center" vertical="center" wrapText="1"/>
    </xf>
    <xf numFmtId="0" fontId="59" fillId="10" borderId="1" xfId="0" applyFont="1" applyFill="1" applyBorder="1" applyAlignment="1">
      <alignment horizontal="center" vertical="center" wrapText="1"/>
    </xf>
    <xf numFmtId="0" fontId="59" fillId="10" borderId="12" xfId="0" applyFont="1" applyFill="1" applyBorder="1" applyAlignment="1">
      <alignment horizontal="center" vertical="center" wrapText="1"/>
    </xf>
    <xf numFmtId="14" fontId="59" fillId="10" borderId="1" xfId="0" applyNumberFormat="1" applyFont="1" applyFill="1" applyBorder="1" applyAlignment="1">
      <alignment horizontal="center" vertical="center" wrapText="1"/>
    </xf>
    <xf numFmtId="44" fontId="59" fillId="10" borderId="1" xfId="18" applyFont="1" applyFill="1" applyBorder="1" applyAlignment="1">
      <alignment horizontal="center" vertical="center" wrapText="1"/>
    </xf>
    <xf numFmtId="44" fontId="143" fillId="10" borderId="1" xfId="18" applyFont="1" applyFill="1" applyBorder="1" applyAlignment="1">
      <alignment horizontal="center" vertical="center" wrapText="1"/>
    </xf>
    <xf numFmtId="0" fontId="144" fillId="10" borderId="0" xfId="0" applyFont="1" applyFill="1" applyBorder="1" applyAlignment="1">
      <alignment horizontal="center" vertical="center" wrapText="1"/>
    </xf>
    <xf numFmtId="2" fontId="144" fillId="10" borderId="0" xfId="0" applyNumberFormat="1" applyFont="1" applyFill="1" applyBorder="1" applyAlignment="1">
      <alignment horizontal="center" vertical="center" wrapText="1"/>
    </xf>
    <xf numFmtId="0" fontId="31" fillId="10" borderId="0" xfId="0" applyFont="1" applyFill="1" applyBorder="1" applyAlignment="1">
      <alignment horizontal="center" vertical="center" wrapText="1"/>
    </xf>
    <xf numFmtId="0" fontId="52" fillId="23" borderId="1" xfId="0" applyNumberFormat="1" applyFont="1" applyFill="1" applyBorder="1" applyAlignment="1">
      <alignment horizontal="center" vertical="center" wrapText="1"/>
    </xf>
    <xf numFmtId="0" fontId="143" fillId="22" borderId="1" xfId="0" applyFont="1" applyFill="1" applyBorder="1" applyAlignment="1">
      <alignment horizontal="center" vertical="center" wrapText="1"/>
    </xf>
    <xf numFmtId="0" fontId="140" fillId="23" borderId="1" xfId="0" applyFont="1" applyFill="1" applyBorder="1" applyAlignment="1">
      <alignment horizontal="center" vertical="center" wrapText="1"/>
    </xf>
    <xf numFmtId="0" fontId="140" fillId="23" borderId="1" xfId="0" applyFont="1" applyFill="1" applyBorder="1" applyAlignment="1">
      <alignment horizontal="center" vertical="center"/>
    </xf>
    <xf numFmtId="3" fontId="139" fillId="23" borderId="1" xfId="0" applyNumberFormat="1" applyFont="1" applyFill="1" applyBorder="1" applyAlignment="1">
      <alignment horizontal="center" vertical="center" wrapText="1"/>
    </xf>
    <xf numFmtId="15" fontId="139" fillId="23" borderId="1" xfId="0" applyNumberFormat="1" applyFont="1" applyFill="1" applyBorder="1" applyAlignment="1">
      <alignment horizontal="center" vertical="center" wrapText="1"/>
    </xf>
    <xf numFmtId="0" fontId="139" fillId="23" borderId="1" xfId="0" applyFont="1" applyFill="1" applyBorder="1" applyAlignment="1">
      <alignment horizontal="left" vertical="center" wrapText="1"/>
    </xf>
    <xf numFmtId="0" fontId="139" fillId="23" borderId="1" xfId="0" applyFont="1" applyFill="1" applyBorder="1" applyAlignment="1">
      <alignment horizontal="center" vertical="center" wrapText="1"/>
    </xf>
    <xf numFmtId="44" fontId="139" fillId="23" borderId="1" xfId="18" applyFont="1" applyFill="1" applyBorder="1" applyAlignment="1">
      <alignment horizontal="center" vertical="center" wrapText="1"/>
    </xf>
    <xf numFmtId="170" fontId="52" fillId="23" borderId="1" xfId="18" applyNumberFormat="1" applyFont="1" applyFill="1" applyBorder="1" applyAlignment="1">
      <alignment horizontal="center" vertical="center" wrapText="1"/>
    </xf>
    <xf numFmtId="1" fontId="139" fillId="23" borderId="1" xfId="0" applyNumberFormat="1" applyFont="1" applyFill="1" applyBorder="1" applyAlignment="1">
      <alignment horizontal="center" vertical="center" wrapText="1"/>
    </xf>
    <xf numFmtId="170" fontId="139" fillId="23" borderId="1" xfId="18" applyNumberFormat="1" applyFont="1" applyFill="1" applyBorder="1" applyAlignment="1">
      <alignment horizontal="center" vertical="center" wrapText="1"/>
    </xf>
    <xf numFmtId="181" fontId="139" fillId="23" borderId="1" xfId="0" applyNumberFormat="1" applyFont="1" applyFill="1" applyBorder="1" applyAlignment="1">
      <alignment horizontal="center" vertical="center" wrapText="1"/>
    </xf>
    <xf numFmtId="14" fontId="129" fillId="0" borderId="0" xfId="0" applyNumberFormat="1" applyFont="1" applyFill="1" applyBorder="1" applyAlignment="1">
      <alignment horizontal="center" vertical="center" wrapText="1"/>
    </xf>
    <xf numFmtId="2" fontId="31" fillId="0" borderId="0" xfId="0" applyNumberFormat="1" applyFont="1" applyFill="1" applyBorder="1" applyAlignment="1">
      <alignment horizontal="center" vertical="center" wrapText="1"/>
    </xf>
    <xf numFmtId="0" fontId="31" fillId="0" borderId="0" xfId="0" applyFont="1" applyFill="1" applyBorder="1" applyAlignment="1">
      <alignment horizontal="center" vertical="center" wrapText="1"/>
    </xf>
    <xf numFmtId="0" fontId="52" fillId="23" borderId="1" xfId="0" applyFont="1" applyFill="1" applyBorder="1" applyAlignment="1">
      <alignment horizontal="center" vertical="center" wrapText="1"/>
    </xf>
    <xf numFmtId="14" fontId="139" fillId="23" borderId="1" xfId="0" applyNumberFormat="1" applyFont="1" applyFill="1" applyBorder="1" applyAlignment="1">
      <alignment horizontal="center" vertical="center" wrapText="1"/>
    </xf>
    <xf numFmtId="14" fontId="145" fillId="10" borderId="1" xfId="0" applyNumberFormat="1" applyFont="1" applyFill="1" applyBorder="1" applyAlignment="1">
      <alignment horizontal="center" vertical="center" wrapText="1"/>
    </xf>
    <xf numFmtId="181" fontId="145" fillId="11" borderId="1" xfId="0" applyNumberFormat="1" applyFont="1" applyFill="1" applyBorder="1" applyAlignment="1">
      <alignment horizontal="center" vertical="center" wrapText="1"/>
    </xf>
    <xf numFmtId="0" fontId="138" fillId="23" borderId="1" xfId="0" applyFont="1" applyFill="1" applyBorder="1" applyAlignment="1">
      <alignment horizontal="center" vertical="center" wrapText="1"/>
    </xf>
    <xf numFmtId="0" fontId="52" fillId="33" borderId="1" xfId="0" applyFont="1" applyFill="1" applyBorder="1" applyAlignment="1">
      <alignment horizontal="center" vertical="center" wrapText="1"/>
    </xf>
    <xf numFmtId="0" fontId="139" fillId="34" borderId="1"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31" fillId="0" borderId="0" xfId="0" applyFont="1" applyBorder="1" applyAlignment="1">
      <alignment horizontal="center" vertical="center" wrapText="1"/>
    </xf>
    <xf numFmtId="44" fontId="31" fillId="0" borderId="0" xfId="18" applyFont="1" applyBorder="1" applyAlignment="1">
      <alignment horizontal="center" vertical="center" wrapText="1"/>
    </xf>
    <xf numFmtId="0" fontId="66" fillId="0" borderId="0" xfId="0" applyFont="1" applyFill="1" applyBorder="1" applyAlignment="1">
      <alignment horizontal="left" vertical="center" wrapText="1"/>
    </xf>
    <xf numFmtId="14" fontId="137" fillId="0" borderId="1" xfId="0" applyNumberFormat="1" applyFont="1" applyFill="1" applyBorder="1" applyAlignment="1">
      <alignment horizontal="center" vertical="center" wrapText="1"/>
    </xf>
    <xf numFmtId="44" fontId="137" fillId="0" borderId="1" xfId="18" applyFont="1" applyFill="1" applyBorder="1" applyAlignment="1">
      <alignment horizontal="center" vertical="center" wrapText="1"/>
    </xf>
    <xf numFmtId="0" fontId="46" fillId="12" borderId="1" xfId="14" applyNumberFormat="1" applyFont="1" applyFill="1" applyBorder="1" applyAlignment="1">
      <alignment horizontal="center" vertical="center" wrapText="1" readingOrder="1"/>
    </xf>
    <xf numFmtId="0" fontId="46" fillId="12" borderId="6" xfId="14" applyNumberFormat="1" applyFont="1" applyFill="1" applyBorder="1" applyAlignment="1">
      <alignment horizontal="center" vertical="center" wrapText="1" readingOrder="1"/>
    </xf>
    <xf numFmtId="0" fontId="14" fillId="3" borderId="1" xfId="14" applyNumberFormat="1" applyFont="1" applyFill="1" applyBorder="1" applyAlignment="1">
      <alignment horizontal="center" vertical="center" wrapText="1" readingOrder="1"/>
    </xf>
    <xf numFmtId="0" fontId="14" fillId="3" borderId="5" xfId="14" applyNumberFormat="1" applyFont="1" applyFill="1" applyBorder="1" applyAlignment="1">
      <alignment horizontal="center" vertical="center" wrapText="1" readingOrder="1"/>
    </xf>
    <xf numFmtId="0" fontId="14" fillId="3" borderId="7" xfId="14" applyNumberFormat="1" applyFont="1" applyFill="1" applyBorder="1" applyAlignment="1">
      <alignment horizontal="center" vertical="center" wrapText="1" readingOrder="1"/>
    </xf>
    <xf numFmtId="0" fontId="14" fillId="3" borderId="12" xfId="14" applyNumberFormat="1" applyFont="1" applyFill="1" applyBorder="1" applyAlignment="1">
      <alignment horizontal="center" vertical="center" wrapText="1" readingOrder="1"/>
    </xf>
    <xf numFmtId="39" fontId="6" fillId="3" borderId="1" xfId="14" applyNumberFormat="1" applyFont="1" applyFill="1" applyBorder="1" applyAlignment="1">
      <alignment horizontal="right" vertical="center" wrapText="1" readingOrder="1"/>
    </xf>
    <xf numFmtId="0" fontId="35" fillId="12" borderId="5" xfId="14" applyNumberFormat="1" applyFont="1" applyFill="1" applyBorder="1" applyAlignment="1">
      <alignment horizontal="center" vertical="center" wrapText="1" readingOrder="1"/>
    </xf>
    <xf numFmtId="0" fontId="35" fillId="12" borderId="7" xfId="14" applyNumberFormat="1" applyFont="1" applyFill="1" applyBorder="1" applyAlignment="1">
      <alignment horizontal="center" vertical="center" wrapText="1" readingOrder="1"/>
    </xf>
    <xf numFmtId="0" fontId="35" fillId="12" borderId="12" xfId="14" applyNumberFormat="1" applyFont="1" applyFill="1" applyBorder="1" applyAlignment="1">
      <alignment horizontal="center" vertical="center" wrapText="1" readingOrder="1"/>
    </xf>
    <xf numFmtId="0" fontId="5" fillId="0" borderId="0" xfId="14" applyFont="1" applyFill="1" applyBorder="1" applyAlignment="1">
      <alignment horizontal="center"/>
    </xf>
    <xf numFmtId="0" fontId="12" fillId="0" borderId="0" xfId="14" applyFont="1" applyFill="1" applyBorder="1" applyAlignment="1">
      <alignment horizontal="center"/>
    </xf>
    <xf numFmtId="165" fontId="16" fillId="0" borderId="0" xfId="7" applyFont="1" applyFill="1" applyBorder="1" applyAlignment="1">
      <alignment horizontal="center"/>
    </xf>
    <xf numFmtId="0" fontId="59" fillId="14" borderId="1" xfId="14" applyNumberFormat="1" applyFont="1" applyFill="1" applyBorder="1" applyAlignment="1">
      <alignment horizontal="center" vertical="center" wrapText="1" readingOrder="1"/>
    </xf>
    <xf numFmtId="0" fontId="59" fillId="15" borderId="1" xfId="14" applyNumberFormat="1" applyFont="1" applyFill="1" applyBorder="1" applyAlignment="1">
      <alignment horizontal="center" vertical="center" wrapText="1" readingOrder="1"/>
    </xf>
    <xf numFmtId="0" fontId="59" fillId="13" borderId="1" xfId="14" applyNumberFormat="1" applyFont="1" applyFill="1" applyBorder="1" applyAlignment="1">
      <alignment horizontal="center" vertical="center" wrapText="1" readingOrder="1"/>
    </xf>
    <xf numFmtId="0" fontId="41" fillId="14" borderId="5" xfId="14" applyNumberFormat="1" applyFont="1" applyFill="1" applyBorder="1" applyAlignment="1">
      <alignment horizontal="center" vertical="center" wrapText="1" readingOrder="1"/>
    </xf>
    <xf numFmtId="0" fontId="41" fillId="14" borderId="7" xfId="14" applyNumberFormat="1" applyFont="1" applyFill="1" applyBorder="1" applyAlignment="1">
      <alignment horizontal="center" vertical="center" wrapText="1" readingOrder="1"/>
    </xf>
    <xf numFmtId="0" fontId="62" fillId="0" borderId="0" xfId="0" applyFont="1" applyBorder="1" applyAlignment="1">
      <alignment horizontal="center" vertical="center" wrapText="1"/>
    </xf>
    <xf numFmtId="0" fontId="28" fillId="0" borderId="0" xfId="0" applyFont="1" applyBorder="1" applyAlignment="1">
      <alignment horizontal="left" vertical="center" wrapText="1"/>
    </xf>
    <xf numFmtId="0" fontId="60" fillId="0" borderId="1" xfId="0" applyFont="1" applyBorder="1" applyAlignment="1">
      <alignment horizontal="center" vertical="center" wrapText="1"/>
    </xf>
    <xf numFmtId="0" fontId="55" fillId="0" borderId="1" xfId="0" applyFont="1" applyFill="1" applyBorder="1" applyAlignment="1">
      <alignment horizontal="center" vertical="center" wrapText="1"/>
    </xf>
    <xf numFmtId="0" fontId="60" fillId="0" borderId="1" xfId="0" quotePrefix="1" applyFont="1" applyBorder="1" applyAlignment="1">
      <alignment horizontal="center" vertical="center" wrapText="1"/>
    </xf>
    <xf numFmtId="0" fontId="60" fillId="0" borderId="0" xfId="0" quotePrefix="1" applyFont="1" applyAlignment="1">
      <alignment horizontal="center" vertical="center"/>
    </xf>
    <xf numFmtId="0" fontId="28" fillId="0" borderId="15" xfId="0" applyFont="1" applyBorder="1" applyAlignment="1">
      <alignment horizontal="left" vertical="center" wrapText="1"/>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60" fillId="3" borderId="1" xfId="0" applyFont="1" applyFill="1" applyBorder="1" applyAlignment="1">
      <alignment horizontal="center" vertical="center" wrapText="1"/>
    </xf>
    <xf numFmtId="0" fontId="60" fillId="0" borderId="5" xfId="0" applyFont="1" applyBorder="1" applyAlignment="1">
      <alignment horizontal="left" vertical="center" wrapText="1"/>
    </xf>
    <xf numFmtId="0" fontId="60" fillId="0" borderId="12" xfId="0" applyFont="1" applyBorder="1" applyAlignment="1">
      <alignment horizontal="left" vertical="center" wrapText="1"/>
    </xf>
    <xf numFmtId="0" fontId="58" fillId="0" borderId="13" xfId="0" applyFont="1" applyFill="1" applyBorder="1" applyAlignment="1">
      <alignment horizontal="center" vertical="center" wrapText="1"/>
    </xf>
    <xf numFmtId="0" fontId="58" fillId="0" borderId="20" xfId="0" applyFont="1" applyFill="1" applyBorder="1" applyAlignment="1">
      <alignment horizontal="center" vertical="center" wrapText="1"/>
    </xf>
    <xf numFmtId="0" fontId="58" fillId="0" borderId="14" xfId="0" applyFont="1" applyFill="1" applyBorder="1" applyAlignment="1">
      <alignment horizontal="center" vertical="center" wrapText="1"/>
    </xf>
    <xf numFmtId="0" fontId="58" fillId="0" borderId="4"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58" fillId="0" borderId="2" xfId="0" applyFont="1" applyFill="1" applyBorder="1" applyAlignment="1">
      <alignment horizontal="center" vertical="center" wrapText="1"/>
    </xf>
    <xf numFmtId="0" fontId="58" fillId="0" borderId="19" xfId="0" applyFont="1" applyFill="1" applyBorder="1" applyAlignment="1">
      <alignment horizontal="center" vertical="center" wrapText="1"/>
    </xf>
    <xf numFmtId="0" fontId="58" fillId="0" borderId="18" xfId="0" applyFont="1" applyFill="1" applyBorder="1" applyAlignment="1">
      <alignment horizontal="center" vertical="center" wrapText="1"/>
    </xf>
    <xf numFmtId="0" fontId="58" fillId="0" borderId="17" xfId="0" applyFont="1" applyFill="1" applyBorder="1" applyAlignment="1">
      <alignment horizontal="center" vertical="center" wrapText="1"/>
    </xf>
    <xf numFmtId="170" fontId="58" fillId="3" borderId="5" xfId="0" applyNumberFormat="1" applyFont="1" applyFill="1" applyBorder="1" applyAlignment="1">
      <alignment horizontal="left" vertical="center" wrapText="1"/>
    </xf>
    <xf numFmtId="170" fontId="58" fillId="3" borderId="12" xfId="0" applyNumberFormat="1" applyFont="1" applyFill="1" applyBorder="1" applyAlignment="1">
      <alignment horizontal="left" vertical="center" wrapText="1"/>
    </xf>
    <xf numFmtId="171" fontId="61" fillId="3" borderId="1" xfId="0" applyNumberFormat="1" applyFont="1" applyFill="1" applyBorder="1" applyAlignment="1">
      <alignment horizontal="right" vertical="center" wrapText="1"/>
    </xf>
    <xf numFmtId="165" fontId="61" fillId="3" borderId="1" xfId="9" applyFont="1" applyFill="1" applyBorder="1" applyAlignment="1">
      <alignment horizontal="right" vertical="center" wrapText="1"/>
    </xf>
    <xf numFmtId="14" fontId="63" fillId="4" borderId="5" xfId="0" applyNumberFormat="1" applyFont="1" applyFill="1" applyBorder="1" applyAlignment="1">
      <alignment horizontal="right" vertical="center" wrapText="1"/>
    </xf>
    <xf numFmtId="14" fontId="63" fillId="4" borderId="12" xfId="0" applyNumberFormat="1" applyFont="1" applyFill="1" applyBorder="1" applyAlignment="1">
      <alignment horizontal="right" vertical="center" wrapText="1"/>
    </xf>
    <xf numFmtId="165" fontId="142" fillId="3" borderId="1" xfId="7" applyFont="1" applyFill="1" applyBorder="1" applyAlignment="1">
      <alignment horizontal="center"/>
    </xf>
    <xf numFmtId="0" fontId="53" fillId="0" borderId="1" xfId="0" applyFont="1" applyBorder="1" applyAlignment="1">
      <alignment horizontal="center"/>
    </xf>
    <xf numFmtId="0" fontId="21" fillId="3" borderId="1" xfId="14" applyNumberFormat="1" applyFont="1" applyFill="1" applyBorder="1" applyAlignment="1">
      <alignment horizontal="center" vertical="center" wrapText="1" readingOrder="1"/>
    </xf>
    <xf numFmtId="0" fontId="53" fillId="16" borderId="1" xfId="0" applyFont="1" applyFill="1" applyBorder="1" applyAlignment="1">
      <alignment horizontal="center"/>
    </xf>
    <xf numFmtId="165" fontId="53" fillId="3" borderId="18" xfId="7" applyFont="1" applyFill="1" applyBorder="1" applyAlignment="1">
      <alignment horizontal="center"/>
    </xf>
    <xf numFmtId="165" fontId="53" fillId="0" borderId="5" xfId="7" applyFont="1" applyBorder="1" applyAlignment="1">
      <alignment horizontal="center" vertical="center"/>
    </xf>
    <xf numFmtId="165" fontId="53" fillId="0" borderId="12" xfId="7" applyFont="1" applyBorder="1" applyAlignment="1">
      <alignment horizontal="center" vertical="center"/>
    </xf>
    <xf numFmtId="0" fontId="71" fillId="13" borderId="19" xfId="14" applyNumberFormat="1" applyFont="1" applyFill="1" applyBorder="1" applyAlignment="1">
      <alignment horizontal="center" vertical="center" wrapText="1" readingOrder="1"/>
    </xf>
    <xf numFmtId="0" fontId="71" fillId="13" borderId="18" xfId="14" applyNumberFormat="1" applyFont="1" applyFill="1" applyBorder="1" applyAlignment="1">
      <alignment horizontal="center" vertical="center" wrapText="1" readingOrder="1"/>
    </xf>
    <xf numFmtId="0" fontId="74" fillId="12" borderId="0" xfId="0" applyFont="1" applyFill="1" applyBorder="1" applyAlignment="1">
      <alignment horizontal="center" vertical="center" wrapText="1"/>
    </xf>
    <xf numFmtId="0" fontId="74" fillId="12" borderId="18" xfId="0" applyFont="1" applyFill="1" applyBorder="1" applyAlignment="1">
      <alignment horizontal="center" vertical="center" wrapText="1"/>
    </xf>
    <xf numFmtId="175" fontId="75" fillId="4" borderId="1" xfId="7" applyNumberFormat="1" applyFont="1" applyFill="1" applyBorder="1" applyAlignment="1">
      <alignment horizontal="center" vertical="center" wrapText="1"/>
    </xf>
    <xf numFmtId="0" fontId="113" fillId="3" borderId="0" xfId="0" applyFont="1" applyFill="1" applyBorder="1" applyAlignment="1">
      <alignment horizontal="center" vertical="center" wrapText="1"/>
    </xf>
    <xf numFmtId="176" fontId="103" fillId="3" borderId="1" xfId="14" applyNumberFormat="1" applyFont="1" applyFill="1" applyBorder="1" applyAlignment="1">
      <alignment horizontal="center" vertical="center" wrapText="1"/>
    </xf>
    <xf numFmtId="0" fontId="103" fillId="3" borderId="1" xfId="14" applyFont="1" applyFill="1" applyBorder="1" applyAlignment="1">
      <alignment horizontal="center" vertical="center" wrapText="1"/>
    </xf>
    <xf numFmtId="176" fontId="103" fillId="3" borderId="5" xfId="14" applyNumberFormat="1" applyFont="1" applyFill="1" applyBorder="1" applyAlignment="1">
      <alignment horizontal="center" wrapText="1"/>
    </xf>
    <xf numFmtId="0" fontId="103" fillId="3" borderId="12" xfId="14" applyFont="1" applyFill="1" applyBorder="1" applyAlignment="1">
      <alignment horizontal="center" wrapText="1"/>
    </xf>
    <xf numFmtId="39" fontId="33" fillId="5" borderId="1" xfId="14" applyNumberFormat="1" applyFont="1" applyFill="1" applyBorder="1" applyAlignment="1">
      <alignment horizontal="center" vertical="center" wrapText="1" readingOrder="1"/>
    </xf>
    <xf numFmtId="0" fontId="10" fillId="26" borderId="5" xfId="14" applyNumberFormat="1" applyFont="1" applyFill="1" applyBorder="1" applyAlignment="1">
      <alignment horizontal="center" vertical="center" wrapText="1" readingOrder="1"/>
    </xf>
    <xf numFmtId="0" fontId="10" fillId="26" borderId="7" xfId="14" applyNumberFormat="1" applyFont="1" applyFill="1" applyBorder="1" applyAlignment="1">
      <alignment horizontal="center" vertical="center" wrapText="1" readingOrder="1"/>
    </xf>
    <xf numFmtId="0" fontId="10" fillId="26" borderId="12" xfId="14" applyNumberFormat="1" applyFont="1" applyFill="1" applyBorder="1" applyAlignment="1">
      <alignment horizontal="center" vertical="center" wrapText="1" readingOrder="1"/>
    </xf>
    <xf numFmtId="0" fontId="111" fillId="4" borderId="5" xfId="14" applyFont="1" applyFill="1" applyBorder="1" applyAlignment="1">
      <alignment horizontal="center" vertical="center"/>
    </xf>
    <xf numFmtId="0" fontId="111" fillId="4" borderId="7" xfId="14" applyFont="1" applyFill="1" applyBorder="1" applyAlignment="1">
      <alignment horizontal="center" vertical="center"/>
    </xf>
    <xf numFmtId="39" fontId="103" fillId="4" borderId="19" xfId="14" applyNumberFormat="1" applyFont="1" applyFill="1" applyBorder="1" applyAlignment="1">
      <alignment horizontal="center" vertical="center" wrapText="1"/>
    </xf>
    <xf numFmtId="39" fontId="103" fillId="4" borderId="18" xfId="14" applyNumberFormat="1" applyFont="1" applyFill="1" applyBorder="1" applyAlignment="1">
      <alignment horizontal="center" vertical="center" wrapText="1"/>
    </xf>
    <xf numFmtId="39" fontId="103" fillId="4" borderId="17" xfId="14" applyNumberFormat="1" applyFont="1" applyFill="1" applyBorder="1" applyAlignment="1">
      <alignment horizontal="center" vertical="center" wrapText="1"/>
    </xf>
    <xf numFmtId="0" fontId="103" fillId="4" borderId="1" xfId="14" applyFont="1" applyFill="1" applyBorder="1" applyAlignment="1">
      <alignment horizontal="center" vertical="center" wrapText="1"/>
    </xf>
    <xf numFmtId="0" fontId="87" fillId="5" borderId="13" xfId="14" applyNumberFormat="1" applyFont="1" applyFill="1" applyBorder="1" applyAlignment="1">
      <alignment horizontal="center" vertical="center" wrapText="1" readingOrder="1"/>
    </xf>
    <xf numFmtId="0" fontId="87" fillId="5" borderId="20" xfId="14" applyNumberFormat="1" applyFont="1" applyFill="1" applyBorder="1" applyAlignment="1">
      <alignment horizontal="center" vertical="center" wrapText="1" readingOrder="1"/>
    </xf>
    <xf numFmtId="0" fontId="87" fillId="5" borderId="14" xfId="14" applyNumberFormat="1" applyFont="1" applyFill="1" applyBorder="1" applyAlignment="1">
      <alignment horizontal="center" vertical="center" wrapText="1" readingOrder="1"/>
    </xf>
    <xf numFmtId="0" fontId="87" fillId="5" borderId="4" xfId="14" applyNumberFormat="1" applyFont="1" applyFill="1" applyBorder="1" applyAlignment="1">
      <alignment horizontal="center" vertical="center" wrapText="1" readingOrder="1"/>
    </xf>
    <xf numFmtId="0" fontId="87" fillId="5" borderId="0" xfId="14" applyNumberFormat="1" applyFont="1" applyFill="1" applyBorder="1" applyAlignment="1">
      <alignment horizontal="center" vertical="center" wrapText="1" readingOrder="1"/>
    </xf>
    <xf numFmtId="0" fontId="87" fillId="5" borderId="2" xfId="14" applyNumberFormat="1" applyFont="1" applyFill="1" applyBorder="1" applyAlignment="1">
      <alignment horizontal="center" vertical="center" wrapText="1" readingOrder="1"/>
    </xf>
    <xf numFmtId="0" fontId="87" fillId="5" borderId="19" xfId="14" applyNumberFormat="1" applyFont="1" applyFill="1" applyBorder="1" applyAlignment="1">
      <alignment horizontal="center" vertical="center" wrapText="1" readingOrder="1"/>
    </xf>
    <xf numFmtId="0" fontId="87" fillId="5" borderId="18" xfId="14" applyNumberFormat="1" applyFont="1" applyFill="1" applyBorder="1" applyAlignment="1">
      <alignment horizontal="center" vertical="center" wrapText="1" readingOrder="1"/>
    </xf>
    <xf numFmtId="0" fontId="87" fillId="5" borderId="17" xfId="14" applyNumberFormat="1" applyFont="1" applyFill="1" applyBorder="1" applyAlignment="1">
      <alignment horizontal="center" vertical="center" wrapText="1" readingOrder="1"/>
    </xf>
    <xf numFmtId="39" fontId="103" fillId="4" borderId="1" xfId="14" applyNumberFormat="1" applyFont="1" applyFill="1" applyBorder="1" applyAlignment="1">
      <alignment horizontal="center" vertical="center" wrapText="1"/>
    </xf>
    <xf numFmtId="39" fontId="103" fillId="3" borderId="19" xfId="14" applyNumberFormat="1" applyFont="1" applyFill="1" applyBorder="1" applyAlignment="1">
      <alignment horizontal="center" vertical="center"/>
    </xf>
    <xf numFmtId="39" fontId="103" fillId="3" borderId="18" xfId="14" applyNumberFormat="1" applyFont="1" applyFill="1" applyBorder="1" applyAlignment="1">
      <alignment horizontal="center" vertical="center"/>
    </xf>
    <xf numFmtId="39" fontId="103" fillId="3" borderId="17" xfId="14" applyNumberFormat="1" applyFont="1" applyFill="1" applyBorder="1" applyAlignment="1">
      <alignment horizontal="center" vertical="center"/>
    </xf>
    <xf numFmtId="9" fontId="111" fillId="3" borderId="5" xfId="17" applyFont="1" applyFill="1" applyBorder="1" applyAlignment="1">
      <alignment horizontal="center" vertical="center"/>
    </xf>
    <xf numFmtId="9" fontId="111" fillId="3" borderId="7" xfId="17" applyFont="1" applyFill="1" applyBorder="1" applyAlignment="1">
      <alignment horizontal="center" vertical="center"/>
    </xf>
    <xf numFmtId="9" fontId="111" fillId="3" borderId="12" xfId="17" applyFont="1" applyFill="1" applyBorder="1" applyAlignment="1">
      <alignment horizontal="center" vertical="center"/>
    </xf>
    <xf numFmtId="15" fontId="139" fillId="9" borderId="6" xfId="0" applyNumberFormat="1" applyFont="1" applyFill="1" applyBorder="1" applyAlignment="1">
      <alignment horizontal="center" vertical="center" wrapText="1"/>
    </xf>
    <xf numFmtId="15" fontId="139" fillId="0" borderId="8" xfId="0" applyNumberFormat="1" applyFont="1" applyFill="1" applyBorder="1" applyAlignment="1">
      <alignment horizontal="center" vertical="center" wrapText="1"/>
    </xf>
    <xf numFmtId="0" fontId="139" fillId="9" borderId="6" xfId="0" applyFont="1" applyFill="1" applyBorder="1" applyAlignment="1">
      <alignment horizontal="center" vertical="center" wrapText="1"/>
    </xf>
    <xf numFmtId="0" fontId="139" fillId="0" borderId="8" xfId="0" applyFont="1" applyFill="1" applyBorder="1" applyAlignment="1">
      <alignment horizontal="center" vertical="center" wrapText="1"/>
    </xf>
    <xf numFmtId="170" fontId="139" fillId="9" borderId="6" xfId="11" applyNumberFormat="1" applyFont="1" applyFill="1" applyBorder="1" applyAlignment="1">
      <alignment horizontal="center" vertical="center" wrapText="1"/>
    </xf>
    <xf numFmtId="170" fontId="139" fillId="0" borderId="8" xfId="11" applyNumberFormat="1" applyFont="1" applyFill="1" applyBorder="1" applyAlignment="1">
      <alignment horizontal="center" vertical="center" wrapText="1"/>
    </xf>
    <xf numFmtId="0" fontId="118" fillId="9" borderId="6" xfId="0" applyFont="1" applyFill="1" applyBorder="1" applyAlignment="1">
      <alignment horizontal="center" vertical="center" wrapText="1"/>
    </xf>
    <xf numFmtId="0" fontId="118" fillId="0" borderId="8" xfId="0" applyFont="1" applyFill="1" applyBorder="1" applyAlignment="1">
      <alignment horizontal="center" vertical="center" wrapText="1"/>
    </xf>
    <xf numFmtId="0" fontId="137" fillId="9" borderId="6" xfId="0" applyFont="1" applyFill="1" applyBorder="1" applyAlignment="1">
      <alignment horizontal="center" vertical="center" wrapText="1"/>
    </xf>
    <xf numFmtId="0" fontId="137" fillId="0" borderId="8" xfId="0" applyFont="1" applyFill="1" applyBorder="1" applyAlignment="1">
      <alignment horizontal="center" vertical="center" wrapText="1"/>
    </xf>
    <xf numFmtId="15" fontId="138" fillId="9" borderId="6" xfId="0" applyNumberFormat="1" applyFont="1" applyFill="1" applyBorder="1" applyAlignment="1">
      <alignment horizontal="center" vertical="center" wrapText="1"/>
    </xf>
    <xf numFmtId="15" fontId="138" fillId="0" borderId="8" xfId="0" applyNumberFormat="1" applyFont="1" applyFill="1" applyBorder="1" applyAlignment="1">
      <alignment horizontal="center" vertical="center" wrapText="1"/>
    </xf>
    <xf numFmtId="0" fontId="138" fillId="9" borderId="6" xfId="0" applyFont="1" applyFill="1" applyBorder="1" applyAlignment="1">
      <alignment horizontal="center" vertical="center" wrapText="1"/>
    </xf>
    <xf numFmtId="0" fontId="138" fillId="0" borderId="8" xfId="0" applyFont="1" applyFill="1" applyBorder="1" applyAlignment="1">
      <alignment horizontal="center" vertical="center" wrapText="1"/>
    </xf>
    <xf numFmtId="0" fontId="0" fillId="9" borderId="6" xfId="0" applyFill="1" applyBorder="1" applyAlignment="1">
      <alignment horizontal="center"/>
    </xf>
    <xf numFmtId="0" fontId="0" fillId="9" borderId="8" xfId="0" applyFill="1" applyBorder="1" applyAlignment="1">
      <alignment horizontal="center"/>
    </xf>
    <xf numFmtId="0" fontId="62" fillId="9" borderId="6" xfId="0" applyFont="1" applyFill="1" applyBorder="1" applyAlignment="1">
      <alignment horizontal="center"/>
    </xf>
    <xf numFmtId="0" fontId="62" fillId="9" borderId="8" xfId="0" applyFont="1" applyFill="1" applyBorder="1" applyAlignment="1">
      <alignment horizontal="center"/>
    </xf>
    <xf numFmtId="0" fontId="137" fillId="9" borderId="8" xfId="0" applyFont="1" applyFill="1" applyBorder="1" applyAlignment="1">
      <alignment horizontal="center" vertical="center" wrapText="1"/>
    </xf>
    <xf numFmtId="170" fontId="126" fillId="3" borderId="5" xfId="0" applyNumberFormat="1" applyFont="1" applyFill="1" applyBorder="1" applyAlignment="1">
      <alignment horizontal="left" vertical="center" wrapText="1"/>
    </xf>
    <xf numFmtId="170" fontId="126" fillId="3" borderId="12" xfId="0" applyNumberFormat="1" applyFont="1" applyFill="1" applyBorder="1" applyAlignment="1">
      <alignment horizontal="left" vertical="center" wrapText="1"/>
    </xf>
    <xf numFmtId="165" fontId="51" fillId="3" borderId="0" xfId="7" applyFont="1" applyFill="1" applyBorder="1" applyAlignment="1">
      <alignment horizontal="center"/>
    </xf>
    <xf numFmtId="165" fontId="51" fillId="3" borderId="0" xfId="7" applyFont="1" applyFill="1" applyBorder="1" applyAlignment="1">
      <alignment horizontal="center" vertical="center" wrapText="1"/>
    </xf>
    <xf numFmtId="0" fontId="118" fillId="3" borderId="6" xfId="0" applyFont="1" applyFill="1" applyBorder="1" applyAlignment="1">
      <alignment horizontal="center" vertical="center" wrapText="1"/>
    </xf>
    <xf numFmtId="0" fontId="118" fillId="3" borderId="8" xfId="0" applyFont="1" applyFill="1" applyBorder="1" applyAlignment="1">
      <alignment horizontal="center" vertical="center" wrapText="1"/>
    </xf>
    <xf numFmtId="0" fontId="118" fillId="0" borderId="6" xfId="0" applyFont="1" applyFill="1" applyBorder="1" applyAlignment="1">
      <alignment horizontal="center" vertical="center" wrapText="1"/>
    </xf>
    <xf numFmtId="0" fontId="134" fillId="0" borderId="0" xfId="0" applyFont="1" applyBorder="1" applyAlignment="1">
      <alignment horizontal="center" vertical="center" wrapText="1"/>
    </xf>
  </cellXfs>
  <cellStyles count="19">
    <cellStyle name="Énfasis1" xfId="1" builtinId="29"/>
    <cellStyle name="Hipervínculo" xfId="2" builtinId="8"/>
    <cellStyle name="Millares [0] 2" xfId="3"/>
    <cellStyle name="Millares 2" xfId="4"/>
    <cellStyle name="Millares 3" xfId="5"/>
    <cellStyle name="Millares 4" xfId="6"/>
    <cellStyle name="Moneda" xfId="18" builtinId="4"/>
    <cellStyle name="Moneda [0]" xfId="7" builtinId="7"/>
    <cellStyle name="Moneda [0] 2" xfId="8"/>
    <cellStyle name="Moneda [0] 2 2" xfId="9"/>
    <cellStyle name="Moneda 2" xfId="10"/>
    <cellStyle name="Moneda 2 2" xfId="11"/>
    <cellStyle name="Moneda 3" xfId="12"/>
    <cellStyle name="Moneda 4" xfId="13"/>
    <cellStyle name="Normal" xfId="0" builtinId="0"/>
    <cellStyle name="Normal 2" xfId="14"/>
    <cellStyle name="Normal 3" xfId="15"/>
    <cellStyle name="Normal 6" xfId="16"/>
    <cellStyle name="Porcentaje" xfId="17" builtinId="5"/>
  </cellStyles>
  <dxfs count="1">
    <dxf>
      <fill>
        <patternFill patternType="solid">
          <fgColor rgb="FFFFFFFF"/>
          <bgColor rgb="FF00000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yara/Escritorio/BASE%20SEGUIMIENTO%20A%20LOS%20CONTRATO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8 (2)"/>
      <sheetName val="TABLA DINAMICA"/>
      <sheetName val="SEGUIMIENTO CONTRATOS 2018"/>
      <sheetName val="LISTAS"/>
    </sheetNames>
    <sheetDataSet>
      <sheetData sheetId="0"/>
      <sheetData sheetId="1"/>
      <sheetData sheetId="2"/>
      <sheetData sheetId="3">
        <row r="1">
          <cell r="A1" t="str">
            <v>LINEA PAA</v>
          </cell>
          <cell r="B1" t="str">
            <v>No. 
CTO</v>
          </cell>
          <cell r="C1" t="str">
            <v xml:space="preserve">CONTRATISTA </v>
          </cell>
          <cell r="D1" t="str">
            <v>CONTAR</v>
          </cell>
          <cell r="E1" t="str">
            <v>TIPO</v>
          </cell>
          <cell r="F1" t="str">
            <v>NUMERO</v>
          </cell>
          <cell r="G1" t="str">
            <v>GENERO</v>
          </cell>
          <cell r="H1" t="str">
            <v xml:space="preserve">FECHA DE SUSCRIPCION </v>
          </cell>
          <cell r="I1" t="str">
            <v>OBJETO</v>
          </cell>
          <cell r="J1" t="str">
            <v xml:space="preserve">MODALIDAD DE CONTRATACION </v>
          </cell>
          <cell r="K1" t="str">
            <v>TIPO DE CONTRATO</v>
          </cell>
          <cell r="L1" t="str">
            <v>VALOR MENSUAL</v>
          </cell>
          <cell r="M1" t="str">
            <v>VALOR INICIAL</v>
          </cell>
          <cell r="N1" t="str">
            <v>ADICION / REDUCCION</v>
          </cell>
          <cell r="O1" t="str">
            <v>VALOR TOTAL DEL CTO</v>
          </cell>
          <cell r="P1" t="str">
            <v>FORMA DE PAGO</v>
          </cell>
          <cell r="Q1" t="str">
            <v>CERTIFICADO DE DISPONIBILIDAD PRESUPUESTAL</v>
          </cell>
          <cell r="R1" t="str">
            <v>RUBRO</v>
          </cell>
          <cell r="S1" t="str">
            <v>RECURSO</v>
          </cell>
          <cell r="T1" t="str">
            <v>REGISTRO PRESUPUESTAL</v>
          </cell>
          <cell r="U1" t="str">
            <v>ASEGURADORA</v>
          </cell>
          <cell r="V1" t="str">
            <v>FECHA DE EXPEDICION POLIZA</v>
          </cell>
          <cell r="W1" t="str">
            <v>FECHA DE APROBACION PÓLIZA</v>
          </cell>
          <cell r="X1" t="str">
            <v>PLAZO DE EJECUCION</v>
          </cell>
          <cell r="Y1" t="str">
            <v>FECHA DE INICIO</v>
          </cell>
          <cell r="Z1" t="str">
            <v>FECHA DE TERMINACION</v>
          </cell>
          <cell r="AA1" t="str">
            <v>No. DÍAS</v>
          </cell>
          <cell r="AB1" t="str">
            <v>PRORROGA</v>
          </cell>
          <cell r="AC1" t="str">
            <v>FECHA TOTAL DE TERMINACION</v>
          </cell>
          <cell r="AD1" t="str">
            <v>SUPERVISOR</v>
          </cell>
          <cell r="AE1" t="str">
            <v xml:space="preserve">AREA DEL SUPERVISOR </v>
          </cell>
          <cell r="AF1" t="str">
            <v>HISTORIAL DE SUPERVISIONES</v>
          </cell>
          <cell r="AG1" t="str">
            <v>TERMINACION ANTICIPADADA</v>
          </cell>
          <cell r="AH1" t="str">
            <v>SUSPENSIONES</v>
          </cell>
          <cell r="AI1" t="str">
            <v>CESIONES</v>
          </cell>
          <cell r="AJ1" t="str">
            <v>% EJECUTADO</v>
          </cell>
          <cell r="AK1"/>
          <cell r="AL1" t="str">
            <v>CDP</v>
          </cell>
        </row>
        <row r="2">
          <cell r="A2">
            <v>74</v>
          </cell>
          <cell r="B2" t="str">
            <v>001-2018</v>
          </cell>
          <cell r="C2" t="str">
            <v>LINA PATRICIA DIMATÉ BENJUMEA</v>
          </cell>
          <cell r="D2">
            <v>1</v>
          </cell>
          <cell r="E2" t="str">
            <v>C.C.</v>
          </cell>
          <cell r="F2">
            <v>52066363</v>
          </cell>
          <cell r="G2" t="str">
            <v>MUJER</v>
          </cell>
          <cell r="H2">
            <v>43105</v>
          </cell>
          <cell r="I2" t="str">
            <v xml:space="preserve">Prestar servicios profesionales en el Grupo de Gestión Contractual de Función Pública para apoyar el desarrollo de procesos de selección y contratación necesarios para la adquisición de bienes, servicios y obras requeridos por la Entidad. </v>
          </cell>
          <cell r="J2" t="str">
            <v>CONTRATACIÓN DIRECTA</v>
          </cell>
          <cell r="K2" t="str">
            <v>PRESTACION DE SERVICIOS PROFESIONALES</v>
          </cell>
          <cell r="L2" t="str">
            <v xml:space="preserve">(5) $ 5.000.000                        </v>
          </cell>
          <cell r="M2">
            <v>25000000</v>
          </cell>
          <cell r="N2"/>
          <cell r="O2">
            <v>25000000</v>
          </cell>
          <cell r="P2" t="str">
            <v>Cinco (5) mensualidades vencidas, cada una por valor de CINCO MILLONES DE PESOS ($5’000.000) M/CTE</v>
          </cell>
          <cell r="Q2" t="str">
            <v>1918  2018 04 Enero 2018</v>
          </cell>
          <cell r="R2" t="str">
            <v>IMPLEMENTACIÓN Y FORTALECIMIENTO DE LAS POLITICAS LIDERADAS POR FUNCION PUBLICA A NIVEL NACIONAL</v>
          </cell>
          <cell r="S2" t="str">
            <v>CSF</v>
          </cell>
          <cell r="T2" t="str">
            <v>2118 2018 05 Enero 2018</v>
          </cell>
          <cell r="U2" t="str">
            <v>N/A</v>
          </cell>
          <cell r="V2" t="str">
            <v>N/A</v>
          </cell>
          <cell r="W2" t="str">
            <v>N/A</v>
          </cell>
          <cell r="X2" t="str">
            <v>Cinco (05) meses, contado a partir del perfeccionamiento del mismo y registro presupuestal.</v>
          </cell>
          <cell r="Y2">
            <v>43105</v>
          </cell>
          <cell r="Z2">
            <v>43255</v>
          </cell>
          <cell r="AA2">
            <v>150</v>
          </cell>
          <cell r="AB2" t="str">
            <v xml:space="preserve"> </v>
          </cell>
          <cell r="AC2">
            <v>43255</v>
          </cell>
          <cell r="AD2" t="str">
            <v>DORIS ATAHUALPA POLANCO</v>
          </cell>
          <cell r="AE2" t="str">
            <v>GRUPO DE GESTION CONTRACTUAL</v>
          </cell>
          <cell r="AF2"/>
          <cell r="AG2"/>
          <cell r="AH2"/>
          <cell r="AI2"/>
          <cell r="AJ2">
            <v>34.666666666666671</v>
          </cell>
          <cell r="AK2">
            <v>43157</v>
          </cell>
          <cell r="AL2" t="str">
            <v xml:space="preserve">1918 </v>
          </cell>
        </row>
        <row r="3">
          <cell r="A3">
            <v>75</v>
          </cell>
          <cell r="B3" t="str">
            <v>002-2018</v>
          </cell>
          <cell r="C3" t="str">
            <v>DIANA PATRICIA BERMUDEZ CETINA</v>
          </cell>
          <cell r="D3">
            <v>1</v>
          </cell>
          <cell r="E3" t="str">
            <v>C.C.</v>
          </cell>
          <cell r="F3">
            <v>52696396</v>
          </cell>
          <cell r="G3" t="str">
            <v>MUJER</v>
          </cell>
          <cell r="H3">
            <v>43105</v>
          </cell>
          <cell r="I3" t="str">
            <v xml:space="preserve">Prestar servicios profesionales en el Grupo de Gestión Contractual de Función Pública para apoyar el desarrollo de procesos de selección y contratación necesarios para la adquisición de bienes, servicios y obras requeridos por la Entidad. </v>
          </cell>
          <cell r="J3" t="str">
            <v>CONTRATACIÓN DIRECTA</v>
          </cell>
          <cell r="K3" t="str">
            <v>PRESTACION DE SERVICIOS PROFESIONALES</v>
          </cell>
          <cell r="L3" t="str">
            <v xml:space="preserve">(5) $ 5.000.000                        </v>
          </cell>
          <cell r="M3">
            <v>25000000</v>
          </cell>
          <cell r="N3"/>
          <cell r="O3">
            <v>25000000</v>
          </cell>
          <cell r="P3" t="str">
            <v>Cinco (5) mensualidades vencidas, cada una por valor de CINCO MILLONES DE PESOS ($5’000.000) M/CTE</v>
          </cell>
          <cell r="Q3" t="str">
            <v>2018  2018 04 Enero 2018</v>
          </cell>
          <cell r="R3" t="str">
            <v>IMPLEMENTACIÓN Y FORTALECIMIENTO DE LAS POLITICAS LIDERADAS POR FUNCION PUBLICA A NIVEL NACIONAL</v>
          </cell>
          <cell r="S3" t="str">
            <v>CSF</v>
          </cell>
          <cell r="T3" t="str">
            <v>2218-2018 05 Enero 2018</v>
          </cell>
          <cell r="U3" t="str">
            <v>N/A</v>
          </cell>
          <cell r="V3" t="str">
            <v>N/A</v>
          </cell>
          <cell r="W3" t="str">
            <v>N/A</v>
          </cell>
          <cell r="X3" t="str">
            <v>Cinco (05) meses, contado a partir del perfeccionamiento del mismo y registro presupuestal.</v>
          </cell>
          <cell r="Y3">
            <v>43105</v>
          </cell>
          <cell r="Z3">
            <v>43255</v>
          </cell>
          <cell r="AA3">
            <v>150</v>
          </cell>
          <cell r="AB3" t="str">
            <v xml:space="preserve"> </v>
          </cell>
          <cell r="AC3">
            <v>43255</v>
          </cell>
          <cell r="AD3" t="str">
            <v>DORIS ATAHUALPA POLANCO</v>
          </cell>
          <cell r="AE3" t="str">
            <v>GRUPO DE GESTION CONTRACTUAL</v>
          </cell>
          <cell r="AF3"/>
          <cell r="AG3"/>
          <cell r="AH3"/>
          <cell r="AI3"/>
          <cell r="AJ3">
            <v>34.666666666666671</v>
          </cell>
          <cell r="AK3"/>
          <cell r="AL3" t="str">
            <v xml:space="preserve">2018 </v>
          </cell>
        </row>
        <row r="4">
          <cell r="A4">
            <v>108</v>
          </cell>
          <cell r="B4" t="str">
            <v>003-2018</v>
          </cell>
          <cell r="C4" t="str">
            <v>PATRICIA GALINDO ARIAS</v>
          </cell>
          <cell r="D4">
            <v>1</v>
          </cell>
          <cell r="E4" t="str">
            <v>C.C.</v>
          </cell>
          <cell r="F4">
            <v>1014192475</v>
          </cell>
          <cell r="G4" t="str">
            <v>MUJER</v>
          </cell>
          <cell r="H4">
            <v>43105</v>
          </cell>
          <cell r="I4" t="str">
            <v>Prestar servicios profesionales en la Oficina de Tecnologías de la Información y las Comunicaciones de Función Pública para adelantar los procesos de selección. Incluyendo las fases precontractual, contractual y post-contractual, necesarios para la adquisicion de bienes y servicios con cargo al proyecto de inversion "Mejoramiento de la Gestión de las Politicas Publicas a Través  de las Tecnologías de Información TICS".</v>
          </cell>
          <cell r="J4" t="str">
            <v>CONTRATACIÓN DIRECTA</v>
          </cell>
          <cell r="K4" t="str">
            <v>PRESTACION DE SERVICIOS PROFESIONALES</v>
          </cell>
          <cell r="L4" t="str">
            <v xml:space="preserve">(5) $ 4.240.000                        </v>
          </cell>
          <cell r="M4">
            <v>21200000</v>
          </cell>
          <cell r="N4"/>
          <cell r="O4">
            <v>21200000</v>
          </cell>
          <cell r="P4" t="str">
            <v>Cinco (5) mensualidades vencidas, cada una por valor de CUATRO MILLONES DOSCIENTOS CUARENTA MIL PESOS ($4’240.000) M/CTE.</v>
          </cell>
          <cell r="Q4" t="str">
            <v>6618  2018 04 Enero 2018</v>
          </cell>
          <cell r="R4" t="str">
            <v>MEJORAMIENTO DE LA GESTION DE LAS POLITICAS PUBLICAS A TRAVES DE LAS TECNOLOGIAS DE INFORMACION TICS</v>
          </cell>
          <cell r="S4" t="str">
            <v>CSF</v>
          </cell>
          <cell r="T4" t="str">
            <v>2318-2018 05 Enero 2018</v>
          </cell>
          <cell r="U4" t="str">
            <v>N/A</v>
          </cell>
          <cell r="V4" t="str">
            <v>N/A</v>
          </cell>
          <cell r="W4" t="str">
            <v>N/A</v>
          </cell>
          <cell r="X4" t="str">
            <v>Cinco (05) meses, contado a partir del perfeccionamiento del mismo y registro presupuestal.</v>
          </cell>
          <cell r="Y4">
            <v>43105</v>
          </cell>
          <cell r="Z4">
            <v>43255</v>
          </cell>
          <cell r="AA4">
            <v>150</v>
          </cell>
          <cell r="AB4" t="str">
            <v xml:space="preserve"> </v>
          </cell>
          <cell r="AC4">
            <v>43255</v>
          </cell>
          <cell r="AD4" t="str">
            <v>HECTOR JULIO MELO OCAMPO</v>
          </cell>
          <cell r="AE4" t="str">
            <v xml:space="preserve">OFICINA DE TECNOLOGIAS DE LA INFORMACION Y LAS COMUNICACIONES </v>
          </cell>
          <cell r="AF4"/>
          <cell r="AG4"/>
          <cell r="AH4"/>
          <cell r="AI4"/>
          <cell r="AJ4">
            <v>34.666666666666671</v>
          </cell>
          <cell r="AK4"/>
          <cell r="AL4" t="str">
            <v xml:space="preserve">6618 </v>
          </cell>
        </row>
        <row r="5">
          <cell r="A5">
            <v>70</v>
          </cell>
          <cell r="B5" t="str">
            <v>004-2018</v>
          </cell>
          <cell r="C5" t="str">
            <v>JULIAN ALBERTO TRUJILLO</v>
          </cell>
          <cell r="D5">
            <v>1</v>
          </cell>
          <cell r="E5" t="str">
            <v>C.C.</v>
          </cell>
          <cell r="F5">
            <v>1094903458</v>
          </cell>
          <cell r="G5" t="str">
            <v>HOMBRE</v>
          </cell>
          <cell r="H5">
            <v>43105</v>
          </cell>
          <cell r="I5" t="str">
            <v>Prestar servicios profesionales para apoyar a la Subdireccion de Función Püblica, en la proyección y revisión jurídica de los documentos emitidos por la misma, asi como en la gestion administrativa y presupuestal necesaria, para cumplir con las metas establecidas en el marco estratégico, en desarrollo del proyecto de inversión a su cargo.</v>
          </cell>
          <cell r="J5" t="str">
            <v>CONTRATACIÓN DIRECTA</v>
          </cell>
          <cell r="K5" t="str">
            <v>PRESTACION DE SERVICIOS PROFESIONALES</v>
          </cell>
          <cell r="L5" t="str">
            <v xml:space="preserve">(5) $ 8.300.000                        </v>
          </cell>
          <cell r="M5">
            <v>41500000</v>
          </cell>
          <cell r="N5"/>
          <cell r="O5">
            <v>41500000</v>
          </cell>
          <cell r="P5" t="str">
            <v>Cinco (5) mensualidades vencidas, cada una por valor de OCHO MILLONES TRESCIENTOS MIL PESOS ($8’300.000) M/CTE.</v>
          </cell>
          <cell r="Q5" t="str">
            <v>3418  2018 04 Enero 2018</v>
          </cell>
          <cell r="R5" t="str">
            <v>IMPLEMENTACIÓN Y FORTALECIMIENTO DE LAS POLITICAS LIDERADAS POR FUNCION PUBLICA A NIVEL NACIONAL</v>
          </cell>
          <cell r="S5" t="str">
            <v>CSF</v>
          </cell>
          <cell r="T5" t="str">
            <v>2418-2018 05 Enero 2018</v>
          </cell>
          <cell r="U5" t="str">
            <v>N/A</v>
          </cell>
          <cell r="V5" t="str">
            <v>N/A</v>
          </cell>
          <cell r="W5" t="str">
            <v>N/A</v>
          </cell>
          <cell r="X5" t="str">
            <v>Cinco (05) meses, contado a partir del perfeccionamiento del mismo y registro presupuestal.</v>
          </cell>
          <cell r="Y5">
            <v>43105</v>
          </cell>
          <cell r="Z5">
            <v>43255</v>
          </cell>
          <cell r="AA5">
            <v>150</v>
          </cell>
          <cell r="AB5" t="str">
            <v xml:space="preserve"> </v>
          </cell>
          <cell r="AC5">
            <v>43255</v>
          </cell>
          <cell r="AD5" t="str">
            <v>FERNANDO AUGUSTO MEDINA GUTIERREZ</v>
          </cell>
          <cell r="AE5" t="str">
            <v>SUBDIRECCIÓN</v>
          </cell>
          <cell r="AF5"/>
          <cell r="AG5"/>
          <cell r="AH5"/>
          <cell r="AI5"/>
          <cell r="AJ5">
            <v>34.666666666666671</v>
          </cell>
          <cell r="AK5"/>
          <cell r="AL5" t="str">
            <v xml:space="preserve">3418 </v>
          </cell>
        </row>
        <row r="6">
          <cell r="A6">
            <v>72</v>
          </cell>
          <cell r="B6" t="str">
            <v>005-2018</v>
          </cell>
          <cell r="C6" t="str">
            <v>MARIA ALEJANDRA ARIAS HERNANDEZ</v>
          </cell>
          <cell r="D6">
            <v>1</v>
          </cell>
          <cell r="E6" t="str">
            <v>C.C.</v>
          </cell>
          <cell r="F6">
            <v>1010178058</v>
          </cell>
          <cell r="G6" t="str">
            <v>MUJER</v>
          </cell>
          <cell r="H6">
            <v>43109</v>
          </cell>
          <cell r="I6" t="str">
            <v>Prestar servicios profesionales en la Direccion General de Función Pública para apoyar el desarrollo de actividades relacionadas con la Estrategia de Pedagogía y Construcción de Paz, en el marco de la implementación  del Acuerdo de Paz, de acuerdo con los compromisos adquiridos por la Entidad.</v>
          </cell>
          <cell r="J6" t="str">
            <v>CONTRATACIÓN DIRECTA</v>
          </cell>
          <cell r="K6" t="str">
            <v>PRESTACION DE SERVICIOS PROFESIONALES</v>
          </cell>
          <cell r="L6" t="str">
            <v xml:space="preserve">(5) $ 6.000.000                        </v>
          </cell>
          <cell r="M6">
            <v>30000000</v>
          </cell>
          <cell r="N6"/>
          <cell r="O6">
            <v>30000000</v>
          </cell>
          <cell r="P6" t="str">
            <v>Cinco (5) mensualidades vencidas, cada una por valor de SEIS MILLONES DE PESOS ($6’000.000) M/CTE.</v>
          </cell>
          <cell r="Q6" t="str">
            <v>3618  2018 04 Enero 2018</v>
          </cell>
          <cell r="R6" t="str">
            <v>DESARROLLO Y FORTALECIMIENTO DE CAPACIDADES DE LAS ENTIDADES TERRITORIALES DE LA CIRCUNSCRIPCIÓN NACIONAL</v>
          </cell>
          <cell r="S6" t="str">
            <v>CSF</v>
          </cell>
          <cell r="T6" t="str">
            <v>4218-2018 10 Enero 2018</v>
          </cell>
          <cell r="U6" t="str">
            <v>N/A</v>
          </cell>
          <cell r="V6" t="str">
            <v>N/A</v>
          </cell>
          <cell r="W6" t="str">
            <v>N/A</v>
          </cell>
          <cell r="X6" t="str">
            <v>Cinco (05) meses, contado a partir del perfeccionamiento del mismo y registro presupuestal.</v>
          </cell>
          <cell r="Y6">
            <v>43110</v>
          </cell>
          <cell r="Z6">
            <v>43260</v>
          </cell>
          <cell r="AA6">
            <v>150</v>
          </cell>
          <cell r="AB6" t="str">
            <v xml:space="preserve"> </v>
          </cell>
          <cell r="AC6">
            <v>43260</v>
          </cell>
          <cell r="AD6" t="str">
            <v>EDINSON GABRIEL MALAGÓN MAYORGA</v>
          </cell>
          <cell r="AE6" t="str">
            <v>DIRECCION GENERAL</v>
          </cell>
          <cell r="AF6"/>
          <cell r="AG6"/>
          <cell r="AH6"/>
          <cell r="AI6"/>
          <cell r="AJ6">
            <v>31.333333333333336</v>
          </cell>
          <cell r="AK6"/>
          <cell r="AL6" t="str">
            <v xml:space="preserve">3618 </v>
          </cell>
        </row>
        <row r="7">
          <cell r="A7">
            <v>78</v>
          </cell>
          <cell r="B7" t="str">
            <v>006-2018</v>
          </cell>
          <cell r="C7" t="str">
            <v>CRISTIAN YESID TORRES GUERRERO</v>
          </cell>
          <cell r="D7">
            <v>1</v>
          </cell>
          <cell r="E7" t="str">
            <v>C.C.</v>
          </cell>
          <cell r="F7">
            <v>80829521</v>
          </cell>
          <cell r="G7" t="str">
            <v>HOMBRE</v>
          </cell>
          <cell r="H7">
            <v>43109</v>
          </cell>
          <cell r="I7" t="str">
            <v>Prestar servicios profesionales en el Grupo de Servicio al Ciudadano Institucional de Función Püblica, para apoyar el fortalecimiento del primer nivel de servicio en materia de producción  de información  y generación de reportes.</v>
          </cell>
          <cell r="J7" t="str">
            <v>CONTRATACIÓN DIRECTA</v>
          </cell>
          <cell r="K7" t="str">
            <v>PRESTACION DE SERVICIOS PROFESIONALES</v>
          </cell>
          <cell r="L7" t="str">
            <v xml:space="preserve">(5) $ 5.231.000                        </v>
          </cell>
          <cell r="M7">
            <v>26155000</v>
          </cell>
          <cell r="N7"/>
          <cell r="O7">
            <v>26155000</v>
          </cell>
          <cell r="P7" t="str">
            <v>Cinco (5) mensualidades vencidas, cada una por valor de CINCO MILLONES DOSCIENTOS TREINTA Y UN MIL PESOS ($5’231.000) M/CTE.</v>
          </cell>
          <cell r="Q7" t="str">
            <v>3918  2018 04 Enero 2018</v>
          </cell>
          <cell r="R7" t="str">
            <v>IMPLEMENTACIÓN Y FORTALECIMIENTO DE LAS POLITICAS LIDERADAS POR FUNCION PUBLICA A NIVEL NACIONAL</v>
          </cell>
          <cell r="S7" t="str">
            <v>CSF</v>
          </cell>
          <cell r="T7" t="str">
            <v>4318-2018 10 Enero 2018</v>
          </cell>
          <cell r="U7" t="str">
            <v>N/A</v>
          </cell>
          <cell r="V7" t="str">
            <v>N/A</v>
          </cell>
          <cell r="W7" t="str">
            <v>N/A</v>
          </cell>
          <cell r="X7" t="str">
            <v>Cinco (05) meses, contado a partir del perfeccionamiento del mismo y registro presupuestal.</v>
          </cell>
          <cell r="Y7">
            <v>43110</v>
          </cell>
          <cell r="Z7">
            <v>43260</v>
          </cell>
          <cell r="AA7">
            <v>150</v>
          </cell>
          <cell r="AB7" t="str">
            <v xml:space="preserve"> </v>
          </cell>
          <cell r="AC7">
            <v>43260</v>
          </cell>
          <cell r="AD7" t="str">
            <v>JAIME HUMBERTO JIMENEZ VERGEL</v>
          </cell>
          <cell r="AE7" t="str">
            <v>GRUPO DE SERVICIO AL CIUDADANO INSTITUCIONAL</v>
          </cell>
          <cell r="AF7"/>
          <cell r="AG7"/>
          <cell r="AH7"/>
          <cell r="AI7"/>
          <cell r="AJ7">
            <v>31.333333333333336</v>
          </cell>
          <cell r="AK7"/>
          <cell r="AL7" t="str">
            <v xml:space="preserve">3918 </v>
          </cell>
        </row>
        <row r="8">
          <cell r="A8">
            <v>57</v>
          </cell>
          <cell r="B8" t="str">
            <v>007-2018</v>
          </cell>
          <cell r="C8" t="str">
            <v>CARLOS EDUARDO HERNANDEZ VALDEBLANQUEZ</v>
          </cell>
          <cell r="D8">
            <v>1</v>
          </cell>
          <cell r="E8" t="str">
            <v>C.C.</v>
          </cell>
          <cell r="F8">
            <v>72297391</v>
          </cell>
          <cell r="G8" t="str">
            <v>HOMBRE</v>
          </cell>
          <cell r="H8">
            <v>43109</v>
          </cell>
          <cell r="I8" t="str">
            <v>Prestar servicios profesionales en Función Püblica para efectuar el diseño de piezas gráficas y material requerido por la Dirección General de la Entidad, asi como la diagramación de documentos y publicaciones generadas por la Entidad.</v>
          </cell>
          <cell r="J8" t="str">
            <v>CONTRATACIÓN DIRECTA</v>
          </cell>
          <cell r="K8" t="str">
            <v>PRESTACION DE SERVICIOS PROFESIONALES</v>
          </cell>
          <cell r="L8" t="str">
            <v xml:space="preserve">(5) $ 3.895.000                        </v>
          </cell>
          <cell r="M8">
            <v>19475000</v>
          </cell>
          <cell r="N8"/>
          <cell r="O8">
            <v>19475000</v>
          </cell>
          <cell r="P8" t="str">
            <v>Cinco (5) mensualidades vencidas, cada una por valor de TRES MILLONES OCHOCIENTOS NOVENTA Y CINCO MIL PESOS ($3’895.000) M/CTE.</v>
          </cell>
          <cell r="Q8" t="str">
            <v>2418  2018 04 Enero 2018</v>
          </cell>
          <cell r="R8" t="str">
            <v>IMPLEMENTACIÓN Y FORTALECIMIENTO DE LAS POLITICAS LIDERADAS POR FUNCION PUBLICA A NIVEL NACIONAL</v>
          </cell>
          <cell r="S8" t="str">
            <v>CSF</v>
          </cell>
          <cell r="T8" t="str">
            <v>3518-2018 09 Enero 2018</v>
          </cell>
          <cell r="U8" t="str">
            <v>N/A</v>
          </cell>
          <cell r="V8" t="str">
            <v>N/A</v>
          </cell>
          <cell r="W8" t="str">
            <v>N/A</v>
          </cell>
          <cell r="X8" t="str">
            <v>Cinco (05) meses, contado a partir del perfeccionamiento del mismo y registro presupuestal.</v>
          </cell>
          <cell r="Y8">
            <v>43109</v>
          </cell>
          <cell r="Z8">
            <v>43259</v>
          </cell>
          <cell r="AA8">
            <v>150</v>
          </cell>
          <cell r="AB8" t="str">
            <v xml:space="preserve"> </v>
          </cell>
          <cell r="AC8">
            <v>43259</v>
          </cell>
          <cell r="AD8" t="str">
            <v xml:space="preserve">SANTIAGO ARANGO CORRALES </v>
          </cell>
          <cell r="AE8" t="str">
            <v>DIRECCION GENERAL</v>
          </cell>
          <cell r="AF8" t="str">
            <v>LAURA CORDOBA REYES</v>
          </cell>
          <cell r="AG8"/>
          <cell r="AH8"/>
          <cell r="AI8"/>
          <cell r="AJ8">
            <v>32</v>
          </cell>
          <cell r="AK8"/>
          <cell r="AL8" t="str">
            <v xml:space="preserve">2418 </v>
          </cell>
        </row>
        <row r="9">
          <cell r="A9">
            <v>71</v>
          </cell>
          <cell r="B9" t="str">
            <v>008-2018</v>
          </cell>
          <cell r="C9" t="str">
            <v>CLAUDIA ANDREA CELY RUIZ                  CEDIDO A                                                       MELANY PAOLA FLOREZ DE LA HOZ</v>
          </cell>
          <cell r="D9">
            <v>1</v>
          </cell>
          <cell r="E9" t="str">
            <v>C.C.</v>
          </cell>
          <cell r="F9">
            <v>1082976365</v>
          </cell>
          <cell r="G9" t="str">
            <v>MUJER</v>
          </cell>
          <cell r="H9">
            <v>43109</v>
          </cell>
          <cell r="I9" t="str">
            <v>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pora la Entidad.</v>
          </cell>
          <cell r="J9" t="str">
            <v>CONTRATACIÓN DIRECTA</v>
          </cell>
          <cell r="K9" t="str">
            <v>PRESTACION DE SERVICIOS PROFESIONALES</v>
          </cell>
          <cell r="L9" t="str">
            <v xml:space="preserve">(5) $ 3.033.000                        </v>
          </cell>
          <cell r="M9">
            <v>15165000</v>
          </cell>
          <cell r="N9"/>
          <cell r="O9">
            <v>15165000</v>
          </cell>
          <cell r="P9" t="str">
            <v>Cinco (5) mensualidades vencidas, cada una por valor de TRES MILLONES TREINTA Y TRES MIL PESOS ($3’033.000) M/CTE.</v>
          </cell>
          <cell r="Q9" t="str">
            <v>3518  2018 04 Enero 2018</v>
          </cell>
          <cell r="R9" t="str">
            <v>DESARROLLO Y FORTALECIMIENTO DE CAPACIDADES DE LAS ENTIDADES TERRITORIALES DE LA CIRCUNSCRIPCIÓN NACIONAL</v>
          </cell>
          <cell r="S9" t="str">
            <v>CSF</v>
          </cell>
          <cell r="T9" t="str">
            <v>4418-2018 10 Enero 2018</v>
          </cell>
          <cell r="U9" t="str">
            <v>N/A</v>
          </cell>
          <cell r="V9" t="str">
            <v>N/A</v>
          </cell>
          <cell r="W9" t="str">
            <v>N/A</v>
          </cell>
          <cell r="X9" t="str">
            <v>Cinco (05) meses, contado a partir del perfeccionamiento del mismo y registro presupuestal.</v>
          </cell>
          <cell r="Y9">
            <v>43110</v>
          </cell>
          <cell r="Z9">
            <v>43260</v>
          </cell>
          <cell r="AA9">
            <v>150</v>
          </cell>
          <cell r="AB9" t="str">
            <v xml:space="preserve"> </v>
          </cell>
          <cell r="AC9">
            <v>43260</v>
          </cell>
          <cell r="AD9" t="str">
            <v>EDINSON GABRIEL MALAGÓN MAYORGA</v>
          </cell>
          <cell r="AE9" t="str">
            <v>DIRECCION GENERAL</v>
          </cell>
          <cell r="AF9"/>
          <cell r="AG9" t="str">
            <v>TERMINACIÓN ANTICIPADA 26 DE ENERO DE 2018</v>
          </cell>
          <cell r="AH9"/>
          <cell r="AI9"/>
          <cell r="AJ9">
            <v>31.333333333333336</v>
          </cell>
          <cell r="AK9"/>
          <cell r="AL9" t="str">
            <v xml:space="preserve">3518 </v>
          </cell>
        </row>
        <row r="10">
          <cell r="A10">
            <v>85</v>
          </cell>
          <cell r="B10" t="str">
            <v>009-2018</v>
          </cell>
          <cell r="C10" t="str">
            <v>GABRIEL EDUARDO ISIDRO RAMOS</v>
          </cell>
          <cell r="D10">
            <v>1</v>
          </cell>
          <cell r="E10" t="str">
            <v>C.C.</v>
          </cell>
          <cell r="F10">
            <v>88031581</v>
          </cell>
          <cell r="G10" t="str">
            <v>HOMBRE</v>
          </cell>
          <cell r="H10">
            <v>43109</v>
          </cell>
          <cell r="I10" t="str">
            <v>Prestar servicios profesionales en Función Püblica para apoyar a la Entidad en materia de Gestión Ambiental, con el fin de dar cumplimiento a la normativa vigente, según lo contemplado den el Plan de Austeridad y Gestión Ambiental de la Entidad.</v>
          </cell>
          <cell r="J10" t="str">
            <v>CONTRATACIÓN DIRECTA</v>
          </cell>
          <cell r="K10" t="str">
            <v>PRESTACION DE SERVICIOS PROFESIONALES</v>
          </cell>
          <cell r="L10" t="str">
            <v xml:space="preserve">(6) $ 5.386.700                        </v>
          </cell>
          <cell r="M10">
            <v>32320200</v>
          </cell>
          <cell r="N10"/>
          <cell r="O10">
            <v>32320200</v>
          </cell>
          <cell r="P10" t="str">
            <v>Seis (6) mensualidades vencidas, cada una por valor de CINCO MILLONES TRESCIENTOS OCHENTA Y SEIS MIL SETECIENTOS PESOS ($5’386.700) M/CTE.</v>
          </cell>
          <cell r="Q10" t="str">
            <v>4518  2018 04 Enero 2018</v>
          </cell>
          <cell r="R10" t="str">
            <v>PRESUPUESTO DE FUNCIONAMIENTO</v>
          </cell>
          <cell r="S10" t="str">
            <v>CSF</v>
          </cell>
          <cell r="T10" t="str">
            <v>3718-2018 09 Enero 2018</v>
          </cell>
          <cell r="U10" t="str">
            <v>N/A</v>
          </cell>
          <cell r="V10" t="str">
            <v>N/A</v>
          </cell>
          <cell r="W10" t="str">
            <v>N/A</v>
          </cell>
          <cell r="X10" t="str">
            <v>Seis (06) meses, contado a partir del perfeccionamiento del mismo y registro presupuestal.</v>
          </cell>
          <cell r="Y10">
            <v>43109</v>
          </cell>
          <cell r="Z10">
            <v>43289</v>
          </cell>
          <cell r="AA10">
            <v>180</v>
          </cell>
          <cell r="AB10" t="str">
            <v xml:space="preserve"> </v>
          </cell>
          <cell r="AC10">
            <v>43289</v>
          </cell>
          <cell r="AD10" t="str">
            <v>JULIAN MAURICIO MARTINEZ ALVARADO</v>
          </cell>
          <cell r="AE10" t="str">
            <v xml:space="preserve">GRUPO DE GESTION ADMINISTRATIVA </v>
          </cell>
          <cell r="AF10"/>
          <cell r="AG10"/>
          <cell r="AH10"/>
          <cell r="AI10"/>
          <cell r="AJ10">
            <v>26.666666666666668</v>
          </cell>
          <cell r="AK10"/>
          <cell r="AL10" t="str">
            <v xml:space="preserve">4518 </v>
          </cell>
        </row>
        <row r="11">
          <cell r="A11">
            <v>66</v>
          </cell>
          <cell r="B11" t="str">
            <v>010-2018</v>
          </cell>
          <cell r="C11" t="str">
            <v>ANA MARÍA PÉREZ CARRILLO</v>
          </cell>
          <cell r="D11">
            <v>1</v>
          </cell>
          <cell r="E11" t="str">
            <v>C.C.</v>
          </cell>
          <cell r="F11">
            <v>1026279367</v>
          </cell>
          <cell r="G11" t="str">
            <v>MUJER</v>
          </cell>
          <cell r="H11">
            <v>43109</v>
          </cell>
          <cell r="I11" t="str">
            <v>Prestar servicios profesionales en la Direccion General de Función Pública para apoyar la investigación producción documental y la difusión para la implementación,  consolidación y seguimiento de la Estrategia de Cambio Cultural.</v>
          </cell>
          <cell r="J11" t="str">
            <v>CONTRATACIÓN DIRECTA</v>
          </cell>
          <cell r="K11" t="str">
            <v>PRESTACION DE SERVICIOS PROFESIONALES</v>
          </cell>
          <cell r="L11" t="str">
            <v xml:space="preserve">(5) $ 4.340.000                        </v>
          </cell>
          <cell r="M11">
            <v>21700000</v>
          </cell>
          <cell r="N11"/>
          <cell r="O11">
            <v>21700000</v>
          </cell>
          <cell r="P11" t="str">
            <v>Cinco (5) mensualidades vencidas, cada una por valor de CUATRO MILLONES TRESCIENTOS CUARENTA MIL PESOS ($4’340.000) M/CTE.</v>
          </cell>
          <cell r="Q11" t="str">
            <v>3018  2018 04 Enero 2018</v>
          </cell>
          <cell r="R11" t="str">
            <v>IMPLEMENTACIÓN Y FORTALECIMIENTO DE LAS POLITICAS LIDERADAS POR FUNCION PUBLICA A NIVEL NACIONAL</v>
          </cell>
          <cell r="S11" t="str">
            <v>CSF</v>
          </cell>
          <cell r="T11" t="str">
            <v>3818-2018 09 Enero 2018</v>
          </cell>
          <cell r="U11" t="str">
            <v>N/A</v>
          </cell>
          <cell r="V11" t="str">
            <v>N/A</v>
          </cell>
          <cell r="W11" t="str">
            <v>N/A</v>
          </cell>
          <cell r="X11" t="str">
            <v>Cinco (05) meses, contado a partir del perfeccionamiento del mismo y registro presupuestal.</v>
          </cell>
          <cell r="Y11">
            <v>43109</v>
          </cell>
          <cell r="Z11">
            <v>43259</v>
          </cell>
          <cell r="AA11">
            <v>150</v>
          </cell>
          <cell r="AB11" t="str">
            <v xml:space="preserve"> </v>
          </cell>
          <cell r="AC11">
            <v>43259</v>
          </cell>
          <cell r="AD11" t="str">
            <v xml:space="preserve">EDINSON GABRIEL MALAGÓN MAYORGA </v>
          </cell>
          <cell r="AE11" t="str">
            <v>DIRECCION GENERAL</v>
          </cell>
          <cell r="AF11" t="str">
            <v>LAURA CORDOBA REYES</v>
          </cell>
          <cell r="AG11"/>
          <cell r="AH11"/>
          <cell r="AI11"/>
          <cell r="AJ11">
            <v>32</v>
          </cell>
          <cell r="AK11"/>
          <cell r="AL11" t="str">
            <v xml:space="preserve">3018 </v>
          </cell>
        </row>
        <row r="12">
          <cell r="A12">
            <v>68</v>
          </cell>
          <cell r="B12" t="str">
            <v>011-2018</v>
          </cell>
          <cell r="C12" t="str">
            <v>EDINSON GABRIEL MALAGÓN MAYORGA</v>
          </cell>
          <cell r="D12">
            <v>2</v>
          </cell>
          <cell r="E12" t="str">
            <v>C.C.</v>
          </cell>
          <cell r="F12">
            <v>80153592</v>
          </cell>
          <cell r="G12" t="str">
            <v>HOMBRE</v>
          </cell>
          <cell r="H12">
            <v>43109</v>
          </cell>
          <cell r="I12" t="str">
            <v>Prestar servicios profesionales en la Dirección General de la Función Pública para apoyar la articulación, implementación, seguimiento y evaluación de la Estrategia de Pedagogía y Construcción de Paz, en el marco de la implementación del Acuerdo de Paz, de acuerdo con los compromisos adquiridos por la Entidad.</v>
          </cell>
          <cell r="J12" t="str">
            <v>CONTRATACIÓN DIRECTA</v>
          </cell>
          <cell r="K12" t="str">
            <v>PRESTACION DE SERVICIOS PROFESIONALES</v>
          </cell>
          <cell r="L12" t="str">
            <v xml:space="preserve">(5) $ 8.500.000                        </v>
          </cell>
          <cell r="M12">
            <v>42500000</v>
          </cell>
          <cell r="N12"/>
          <cell r="O12">
            <v>42500000</v>
          </cell>
          <cell r="P12" t="str">
            <v>Cinco (5) mensualidades vencidas, cada una por valor de OCHO MILLONES QUINIENTOS MIL PESOS ($8’500.000) M/CTE.</v>
          </cell>
          <cell r="Q12" t="str">
            <v>3218  2018 04 Enero 2018</v>
          </cell>
          <cell r="R12" t="str">
            <v>IMPLEMENTACIÓN Y FORTALECIMIENTO DE LAS POLITICAS LIDERADAS POR FUNCION PUBLICA A NIVEL NACIONAL</v>
          </cell>
          <cell r="S12" t="str">
            <v>CSF</v>
          </cell>
          <cell r="T12" t="str">
            <v>3318-2018 09 Enero 2018</v>
          </cell>
          <cell r="U12" t="str">
            <v>N/A</v>
          </cell>
          <cell r="V12" t="str">
            <v>N/A</v>
          </cell>
          <cell r="W12" t="str">
            <v>N/A</v>
          </cell>
          <cell r="X12" t="str">
            <v>Cinco (05) meses, contado a partir del perfeccionamiento del mismo y registro presupuestal.</v>
          </cell>
          <cell r="Y12">
            <v>43109</v>
          </cell>
          <cell r="Z12">
            <v>43259</v>
          </cell>
          <cell r="AA12">
            <v>150</v>
          </cell>
          <cell r="AB12" t="str">
            <v xml:space="preserve"> </v>
          </cell>
          <cell r="AC12">
            <v>43259</v>
          </cell>
          <cell r="AD12" t="str">
            <v>LAURA CORDOBA REYES</v>
          </cell>
          <cell r="AE12" t="str">
            <v>DIRECCION GENERAL</v>
          </cell>
          <cell r="AF12"/>
          <cell r="AG12" t="str">
            <v>TERMINACIÓN ANTICIPADA 25 DE ENERO DE 2018</v>
          </cell>
          <cell r="AH12"/>
          <cell r="AI12"/>
          <cell r="AJ12" t="str">
            <v>FINALIZADO</v>
          </cell>
          <cell r="AK12"/>
          <cell r="AL12" t="str">
            <v xml:space="preserve">3218 </v>
          </cell>
        </row>
        <row r="13">
          <cell r="A13">
            <v>77</v>
          </cell>
          <cell r="B13" t="str">
            <v>012-2018</v>
          </cell>
          <cell r="C13" t="str">
            <v>SERGIO MEJIA DUSSAN</v>
          </cell>
          <cell r="D13">
            <v>1</v>
          </cell>
          <cell r="E13" t="str">
            <v>C.C.</v>
          </cell>
          <cell r="F13">
            <v>16078098</v>
          </cell>
          <cell r="G13" t="str">
            <v>HOMBRE</v>
          </cell>
          <cell r="H13">
            <v>43109</v>
          </cell>
          <cell r="I13" t="str">
            <v>Prestar servicios profesionales en la Oficina Asesora de Planeación de Función Pública para apoyar la consolidación de información de entidades del orden territorial en el Sistema de Información Estratégica (SIE).</v>
          </cell>
          <cell r="J13" t="str">
            <v>CONTRATACIÓN DIRECTA</v>
          </cell>
          <cell r="K13" t="str">
            <v>PRESTACION DE SERVICIOS PROFESIONALES</v>
          </cell>
          <cell r="L13" t="str">
            <v xml:space="preserve">(5) $ 5.700.000                        </v>
          </cell>
          <cell r="M13">
            <v>28500000</v>
          </cell>
          <cell r="N13"/>
          <cell r="O13">
            <v>28500000</v>
          </cell>
          <cell r="P13" t="str">
            <v>Cinco (5) mensualidades vencidas, cada una por valor de CINCO MILLONES SETECIENTOS MIL PESOS ($5’700.000) M/CTE.</v>
          </cell>
          <cell r="Q13" t="str">
            <v>3818  2018 04 Enero 2018</v>
          </cell>
          <cell r="R13" t="str">
            <v>DESARROLLO Y FORTALECIMIENTO DE CAPACIDADES DE LAS ENTIDADES TERRITORIALES DE LA CIRCUNSCRIPCIÓN NACIONAL</v>
          </cell>
          <cell r="S13" t="str">
            <v>CSF</v>
          </cell>
          <cell r="T13" t="str">
            <v>8218-2018 16 Enero 2018</v>
          </cell>
          <cell r="U13" t="str">
            <v>N/A</v>
          </cell>
          <cell r="V13" t="str">
            <v>N/A</v>
          </cell>
          <cell r="W13" t="str">
            <v>N/A</v>
          </cell>
          <cell r="X13" t="str">
            <v>Cinco (05) meses, contado a partir del perfeccionamiento del mismo y registro presupuestal.</v>
          </cell>
          <cell r="Y13">
            <v>43116</v>
          </cell>
          <cell r="Z13">
            <v>43266</v>
          </cell>
          <cell r="AA13">
            <v>150</v>
          </cell>
          <cell r="AB13" t="str">
            <v xml:space="preserve"> </v>
          </cell>
          <cell r="AC13">
            <v>43266</v>
          </cell>
          <cell r="AD13" t="str">
            <v xml:space="preserve">GUILLERMO MARTINEZ DAZA </v>
          </cell>
          <cell r="AE13" t="str">
            <v>OFICINA ASESORA DE PLANEACION</v>
          </cell>
          <cell r="AF13"/>
          <cell r="AG13"/>
          <cell r="AH13"/>
          <cell r="AI13"/>
          <cell r="AJ13">
            <v>27.333333333333332</v>
          </cell>
          <cell r="AK13"/>
          <cell r="AL13" t="str">
            <v xml:space="preserve">3818 </v>
          </cell>
        </row>
        <row r="14">
          <cell r="A14">
            <v>86</v>
          </cell>
          <cell r="B14" t="str">
            <v>013-2018</v>
          </cell>
          <cell r="C14" t="str">
            <v>CLARA INES COLLAZOS MARTINEZ</v>
          </cell>
          <cell r="D14">
            <v>1</v>
          </cell>
          <cell r="E14" t="str">
            <v>C.C.</v>
          </cell>
          <cell r="F14">
            <v>49729646</v>
          </cell>
          <cell r="G14" t="str">
            <v>MUJER</v>
          </cell>
          <cell r="H14">
            <v>43109</v>
          </cell>
          <cell r="I14" t="str">
            <v>Prestar servicios profesionales en la Dirección de Deasarrollo Organizacional de Función Pública  para apoyar la implementación, seguimiento, monitoreo y evaluación de tercera fase de la Estrategía de Gestión Territorial.</v>
          </cell>
          <cell r="J14" t="str">
            <v>CONTRATACIÓN DIRECTA</v>
          </cell>
          <cell r="K14" t="str">
            <v>PRESTACION DE SERVICIOS PROFESIONALES</v>
          </cell>
          <cell r="L14" t="str">
            <v xml:space="preserve">(5) $ 11.290.000                        </v>
          </cell>
          <cell r="M14">
            <v>56450000</v>
          </cell>
          <cell r="N14"/>
          <cell r="O14">
            <v>56450000</v>
          </cell>
          <cell r="P14" t="str">
            <v>Cinco (5) mensualidades vencidas, cada una por valor de ONCE MILLONES DOSCIENTOS NOVENTA MIL PESOS ($11’290.000) M/CTE.</v>
          </cell>
          <cell r="Q14" t="str">
            <v>4618  2018 04 Enero 2018</v>
          </cell>
          <cell r="R14" t="str">
            <v>DESARROLLO Y FORTALECIMIENTO DE CAPACIDADES DE LAS ENTIDADES TERRITORIALES DE LA CIRCUNSCRIPCIÓN NACIONAL</v>
          </cell>
          <cell r="S14" t="str">
            <v>CSF</v>
          </cell>
          <cell r="T14" t="str">
            <v>2518-2018 09 Enero 2018</v>
          </cell>
          <cell r="U14" t="str">
            <v>N/A</v>
          </cell>
          <cell r="V14" t="str">
            <v>N/A</v>
          </cell>
          <cell r="W14" t="str">
            <v>N/A</v>
          </cell>
          <cell r="X14" t="str">
            <v>Cinco (05) meses, contado a partir del perfeccionamiento del mismo y registro presupuestal.</v>
          </cell>
          <cell r="Y14">
            <v>43109</v>
          </cell>
          <cell r="Z14">
            <v>43259</v>
          </cell>
          <cell r="AA14">
            <v>150</v>
          </cell>
          <cell r="AB14" t="str">
            <v xml:space="preserve"> </v>
          </cell>
          <cell r="AC14">
            <v>43259</v>
          </cell>
          <cell r="AD14" t="str">
            <v>ALEJANDRO BECKER ROJAS</v>
          </cell>
          <cell r="AE14" t="str">
            <v xml:space="preserve">DIRECCION DE DESARROLLO ORGANIZACIONAL  </v>
          </cell>
          <cell r="AF14"/>
          <cell r="AG14"/>
          <cell r="AH14"/>
          <cell r="AI14"/>
          <cell r="AJ14">
            <v>32</v>
          </cell>
          <cell r="AK14"/>
          <cell r="AL14" t="str">
            <v xml:space="preserve">4618 </v>
          </cell>
        </row>
        <row r="15">
          <cell r="A15">
            <v>63</v>
          </cell>
          <cell r="B15" t="str">
            <v>014-2018</v>
          </cell>
          <cell r="C15" t="str">
            <v>ANDRES FELIPE SEGURA ARNAIZ</v>
          </cell>
          <cell r="D15">
            <v>1</v>
          </cell>
          <cell r="E15" t="str">
            <v>C.C.</v>
          </cell>
          <cell r="F15">
            <v>80093330</v>
          </cell>
          <cell r="G15" t="str">
            <v>HOMBRE</v>
          </cell>
          <cell r="H15">
            <v>43109</v>
          </cell>
          <cell r="I15" t="str">
            <v>Prestar servicios profesionales en la Dirección General de la Función Pública para apoyar el cumplimiento de los objetivos y metas estratégicas institucionales, asi como la comunicación y divulgacion de producto</v>
          </cell>
          <cell r="J15" t="str">
            <v>CONTRATACIÓN DIRECTA</v>
          </cell>
          <cell r="K15" t="str">
            <v>PRESTACION DE SERVICIOS PROFESIONALES</v>
          </cell>
          <cell r="L15" t="str">
            <v xml:space="preserve">(5) $ 11.000.000                        </v>
          </cell>
          <cell r="M15">
            <v>55000000</v>
          </cell>
          <cell r="N15"/>
          <cell r="O15">
            <v>55000000</v>
          </cell>
          <cell r="P15" t="str">
            <v>Cinco (5) mensualidades vencidas, cada una por valor de ONCE MILLONES DE PESOS ($11’000.000) M/CTE.</v>
          </cell>
          <cell r="Q15" t="str">
            <v>2718  2018 04 Enero 2018</v>
          </cell>
          <cell r="R15" t="str">
            <v>IMPLEMENTACIÓN Y FORTALECIMIENTO DE LAS POLITICAS LIDERADAS POR FUNCION PUBLICA A NIVEL NACIONAL</v>
          </cell>
          <cell r="S15" t="str">
            <v>CSF</v>
          </cell>
          <cell r="T15" t="str">
            <v>5318-2018 11 Enero 2018</v>
          </cell>
          <cell r="U15" t="str">
            <v>N/A</v>
          </cell>
          <cell r="V15" t="str">
            <v>N/A</v>
          </cell>
          <cell r="W15" t="str">
            <v>N/A</v>
          </cell>
          <cell r="X15" t="str">
            <v>Cinco (05) meses, contado a partir del perfeccionamiento del mismo y registro presupuestal.</v>
          </cell>
          <cell r="Y15">
            <v>43111</v>
          </cell>
          <cell r="Z15">
            <v>43261</v>
          </cell>
          <cell r="AA15">
            <v>150</v>
          </cell>
          <cell r="AB15" t="str">
            <v xml:space="preserve"> </v>
          </cell>
          <cell r="AC15">
            <v>43261</v>
          </cell>
          <cell r="AD15" t="str">
            <v xml:space="preserve">SANTIAGO ARANGO CORRALES </v>
          </cell>
          <cell r="AE15" t="str">
            <v>DIRECCION GENERAL</v>
          </cell>
          <cell r="AF15" t="str">
            <v>LAURA CORDOBA REYES</v>
          </cell>
          <cell r="AG15"/>
          <cell r="AH15"/>
          <cell r="AI15"/>
          <cell r="AJ15">
            <v>30.666666666666664</v>
          </cell>
          <cell r="AK15"/>
          <cell r="AL15" t="str">
            <v xml:space="preserve">2718 </v>
          </cell>
        </row>
        <row r="16">
          <cell r="A16">
            <v>109</v>
          </cell>
          <cell r="B16" t="str">
            <v>015-2018</v>
          </cell>
          <cell r="C16" t="str">
            <v>GREISTLY KARINE VEGA PEREZ</v>
          </cell>
          <cell r="D16">
            <v>1</v>
          </cell>
          <cell r="E16" t="str">
            <v>C.C.</v>
          </cell>
          <cell r="F16">
            <v>1032435416</v>
          </cell>
          <cell r="G16" t="str">
            <v>MUJER</v>
          </cell>
          <cell r="H16">
            <v>43109</v>
          </cell>
          <cell r="I16" t="str">
            <v>Prestar servicios profesionales en la Oficina de Tecnologías de la Información y las Comunicaciones de Función Pública para apoyar desde el punto de vista financiero en los procesos de selección para la adquisición de bienes y servicios con cargo al Proyecto de Inversión “Mejoramiento de la Gestión de las Políticas Públicas a Través de las Tecnologías de Información TICS”</v>
          </cell>
          <cell r="J16" t="str">
            <v>CONTRATACIÓN DIRECTA</v>
          </cell>
          <cell r="K16" t="str">
            <v>PRESTACION DE SERVICIOS PROFESIONALES</v>
          </cell>
          <cell r="L16" t="str">
            <v xml:space="preserve">(5) $ 4.240.000                        </v>
          </cell>
          <cell r="M16">
            <v>21200000</v>
          </cell>
          <cell r="N16"/>
          <cell r="O16">
            <v>21200000</v>
          </cell>
          <cell r="P16" t="str">
            <v>Cinco (5) mensualidades vencidas, cada una por valor de CUATRO MILLONES DOSCIENTOS CUARENTA MIL PESOS ($4’240.000) M/CTE.</v>
          </cell>
          <cell r="Q16" t="str">
            <v>5718  2018 04 Enero 2018</v>
          </cell>
          <cell r="R16" t="str">
            <v>MEJORAMIENTO DE LA GESTION DE LAS POLITICAS PUBLICAS A TRAVES DE LAS TECNOLOGIAS DE INFORMACION TICS</v>
          </cell>
          <cell r="S16" t="str">
            <v>CSF</v>
          </cell>
          <cell r="T16" t="str">
            <v>4018-2018 09 Enero 2018</v>
          </cell>
          <cell r="U16" t="str">
            <v>N/A</v>
          </cell>
          <cell r="V16" t="str">
            <v>N/A</v>
          </cell>
          <cell r="W16" t="str">
            <v>N/A</v>
          </cell>
          <cell r="X16" t="str">
            <v>Cinco (05) meses, contado a partir del perfeccionamiento del mismo y registro presupuestal.</v>
          </cell>
          <cell r="Y16">
            <v>43109</v>
          </cell>
          <cell r="Z16">
            <v>43259</v>
          </cell>
          <cell r="AA16">
            <v>150</v>
          </cell>
          <cell r="AB16" t="str">
            <v xml:space="preserve"> </v>
          </cell>
          <cell r="AC16">
            <v>43259</v>
          </cell>
          <cell r="AD16" t="str">
            <v>HECTOR JULIO MELO OCAMPO</v>
          </cell>
          <cell r="AE16" t="str">
            <v xml:space="preserve">OFICINA DE TECNOLOGIAS DE LA INFORMACION Y LAS COMUNICACIONES </v>
          </cell>
          <cell r="AF16"/>
          <cell r="AG16"/>
          <cell r="AH16"/>
          <cell r="AI16"/>
          <cell r="AJ16">
            <v>32</v>
          </cell>
          <cell r="AK16"/>
          <cell r="AL16" t="str">
            <v xml:space="preserve">5718 </v>
          </cell>
        </row>
        <row r="17">
          <cell r="A17">
            <v>110</v>
          </cell>
          <cell r="B17" t="str">
            <v>016-2018</v>
          </cell>
          <cell r="C17" t="str">
            <v>VICTOR HUGO JAUREGUI PAZ</v>
          </cell>
          <cell r="D17">
            <v>1</v>
          </cell>
          <cell r="E17" t="str">
            <v>C.C.</v>
          </cell>
          <cell r="F17">
            <v>88030314</v>
          </cell>
          <cell r="G17" t="str">
            <v>HOMBRE</v>
          </cell>
          <cell r="H17">
            <v>43109</v>
          </cell>
          <cell r="I17" t="str">
            <v>Prestar servicios profesionales en la Oficina de Tecnologías de la Información y las Comunicaciones de Función Pública, para apoyar el desarrollo, optimización, mejoramiento, actualización, monitoreo y mantenimiento de los sistemas de información y gestión misionales y de apoyo de la Entidad, así como los portales web que apoyan dichos sistemas, incorporando los lineamientos de Gobierno Digital.</v>
          </cell>
          <cell r="J17" t="str">
            <v>CONTRATACIÓN DIRECTA</v>
          </cell>
          <cell r="K17" t="str">
            <v>PRESTACION DE SERVICIOS PROFESIONALES</v>
          </cell>
          <cell r="L17" t="str">
            <v xml:space="preserve">(5) $ 7.000.000                        </v>
          </cell>
          <cell r="M17">
            <v>35000000</v>
          </cell>
          <cell r="N17"/>
          <cell r="O17">
            <v>35000000</v>
          </cell>
          <cell r="P17" t="str">
            <v>Cinco (5) mensualidades vencidas, cada una por valor de SIETE MILLONES DE PESOS ($7’000.000) M/CTE.</v>
          </cell>
          <cell r="Q17" t="str">
            <v>6818  2018 04 Enero 2018</v>
          </cell>
          <cell r="R17" t="str">
            <v>MEJORAMIENTO DE LA GESTION DE LAS POLITICAS PUBLICAS A TRAVES DE LAS TECNOLOGIAS DE INFORMACION TICS</v>
          </cell>
          <cell r="S17" t="str">
            <v>CSF</v>
          </cell>
          <cell r="T17" t="str">
            <v>6818-2018 15 Enero 2018</v>
          </cell>
          <cell r="U17" t="str">
            <v>N/A</v>
          </cell>
          <cell r="V17" t="str">
            <v>N/A</v>
          </cell>
          <cell r="W17" t="str">
            <v>N/A</v>
          </cell>
          <cell r="X17" t="str">
            <v>Cinco (05) meses, contado a partir del perfeccionamiento del mismo y registro presupuestal.</v>
          </cell>
          <cell r="Y17">
            <v>43115</v>
          </cell>
          <cell r="Z17">
            <v>43265</v>
          </cell>
          <cell r="AA17">
            <v>150</v>
          </cell>
          <cell r="AB17" t="str">
            <v xml:space="preserve"> </v>
          </cell>
          <cell r="AC17">
            <v>43265</v>
          </cell>
          <cell r="AD17" t="str">
            <v>FRANCISCO JOSE URBINA SUAREZ</v>
          </cell>
          <cell r="AE17" t="str">
            <v xml:space="preserve">OFICINA DE TECNOLOGIAS DE LA INFORMACION Y LAS COMUNICACIONES </v>
          </cell>
          <cell r="AF17"/>
          <cell r="AG17"/>
          <cell r="AH17"/>
          <cell r="AI17"/>
          <cell r="AJ17">
            <v>28.000000000000004</v>
          </cell>
          <cell r="AK17"/>
          <cell r="AL17" t="str">
            <v xml:space="preserve">6818 </v>
          </cell>
        </row>
        <row r="18">
          <cell r="A18">
            <v>111</v>
          </cell>
          <cell r="B18" t="str">
            <v>017-2018</v>
          </cell>
          <cell r="C18" t="str">
            <v>JHON EDINSON HALLEY MOSQUERA MIRANDA</v>
          </cell>
          <cell r="D18">
            <v>1</v>
          </cell>
          <cell r="E18" t="str">
            <v>C.C.</v>
          </cell>
          <cell r="F18">
            <v>1032364003</v>
          </cell>
          <cell r="G18" t="str">
            <v>MUJER</v>
          </cell>
          <cell r="H18">
            <v>43109</v>
          </cell>
          <cell r="I18" t="str">
            <v xml:space="preserve">Prestar servicios profesionales en la Oficina de Tecnologías de la Información y las Comunicaciones de Función Pública, para apoyar las necesidades de desarrollo, integración y mejoramiento de los sistemas de información y gestión misionales y de apoyo de la Entidad, así como de los portales web que soportan dichos sistemas, incorporando los lineamientos de Gobierno Digital. </v>
          </cell>
          <cell r="J18" t="str">
            <v>CONTRATACIÓN DIRECTA</v>
          </cell>
          <cell r="K18" t="str">
            <v>PRESTACION DE SERVICIOS PROFESIONALES</v>
          </cell>
          <cell r="L18" t="str">
            <v xml:space="preserve">(5) $ 6.510.000                        </v>
          </cell>
          <cell r="M18">
            <v>32550000</v>
          </cell>
          <cell r="N18"/>
          <cell r="O18">
            <v>32550000</v>
          </cell>
          <cell r="P18" t="str">
            <v>Cinco (5) mensualidades vencidas, cada una por valor de SEIS MILLONES QUINIENTOS DIEZ MIL PESOS ($6’510.000) M/CTE.</v>
          </cell>
          <cell r="Q18" t="str">
            <v>6918  2018 04 Enero 2018</v>
          </cell>
          <cell r="R18" t="str">
            <v>MEJORAMIENTO DE LA GESTION DE LAS POLITICAS PUBLICAS A TRAVES DE LAS TECNOLOGIAS DE INFORMACION TICS</v>
          </cell>
          <cell r="S18" t="str">
            <v>CSF</v>
          </cell>
          <cell r="T18" t="str">
            <v>2618-2018 09 Enero 2018</v>
          </cell>
          <cell r="U18" t="str">
            <v>N/A</v>
          </cell>
          <cell r="V18" t="str">
            <v>N/A</v>
          </cell>
          <cell r="W18" t="str">
            <v>N/A</v>
          </cell>
          <cell r="X18" t="str">
            <v>Cinco (05) meses, contado a partir del perfeccionamiento del mismo y registro presupuestal.</v>
          </cell>
          <cell r="Y18">
            <v>43109</v>
          </cell>
          <cell r="Z18">
            <v>43259</v>
          </cell>
          <cell r="AA18">
            <v>150</v>
          </cell>
          <cell r="AB18" t="str">
            <v xml:space="preserve"> </v>
          </cell>
          <cell r="AC18">
            <v>43259</v>
          </cell>
          <cell r="AD18" t="str">
            <v>ASTRID RUIZ ZAMUDIO</v>
          </cell>
          <cell r="AE18" t="str">
            <v xml:space="preserve">OFICINA DE TECNOLOGIAS DE LA INFORMACION Y LAS COMUNICACIONES </v>
          </cell>
          <cell r="AF18"/>
          <cell r="AG18"/>
          <cell r="AH18"/>
          <cell r="AI18"/>
          <cell r="AJ18">
            <v>32</v>
          </cell>
          <cell r="AK18"/>
          <cell r="AL18" t="str">
            <v xml:space="preserve">6918 </v>
          </cell>
        </row>
        <row r="19">
          <cell r="A19">
            <v>53</v>
          </cell>
          <cell r="B19" t="str">
            <v>018-2018</v>
          </cell>
          <cell r="C19" t="str">
            <v>DIANA MARITZA BUENHOMBRE GUERRERO</v>
          </cell>
          <cell r="D19">
            <v>1</v>
          </cell>
          <cell r="E19" t="str">
            <v>C.C.</v>
          </cell>
          <cell r="F19">
            <v>52186009</v>
          </cell>
          <cell r="G19" t="str">
            <v>MUJER</v>
          </cell>
          <cell r="H19">
            <v>43109</v>
          </cell>
          <cell r="I19" t="str">
            <v>Prestar servicios profesionales en la Oficina Asesora de Planeación de Función Pública para apoyar la articulación del Sistema Integrado de Gestión de la Entidad con el Modelo Integrado de Planeación y Gestión (MIPG).</v>
          </cell>
          <cell r="J19" t="str">
            <v>CONTRATACIÓN DIRECTA</v>
          </cell>
          <cell r="K19" t="str">
            <v>PRESTACION DE SERVICIOS PROFESIONALES</v>
          </cell>
          <cell r="L19" t="str">
            <v xml:space="preserve">(5) $ 5.008.000                        </v>
          </cell>
          <cell r="M19">
            <v>25040000</v>
          </cell>
          <cell r="N19"/>
          <cell r="O19">
            <v>25040000</v>
          </cell>
          <cell r="P19" t="str">
            <v>Cinco (5) mensualidades vencidas, cada una por valor de CINCO MILLONES OCHO MIL PESOS ($5.008.000) M/CTE</v>
          </cell>
          <cell r="Q19" t="str">
            <v>2318  2018 04 Enero 2018</v>
          </cell>
          <cell r="R19" t="str">
            <v>IMPLEMENTACIÓN Y FORTALECIMIENTO DE LAS POLITICAS LIDERADAS POR FUNCION PUBLICA A NIVEL NACIONAL</v>
          </cell>
          <cell r="S19" t="str">
            <v>CSF</v>
          </cell>
          <cell r="T19" t="str">
            <v>4518-2018 10 Enero 2018</v>
          </cell>
          <cell r="U19" t="str">
            <v>N/A</v>
          </cell>
          <cell r="V19" t="str">
            <v>N/A</v>
          </cell>
          <cell r="W19" t="str">
            <v>N/A</v>
          </cell>
          <cell r="X19" t="str">
            <v>Cinco (05) meses, contado a partir del perfeccionamiento del mismo y registro presupuestal.</v>
          </cell>
          <cell r="Y19">
            <v>43110</v>
          </cell>
          <cell r="Z19">
            <v>43260</v>
          </cell>
          <cell r="AA19">
            <v>150</v>
          </cell>
          <cell r="AB19" t="str">
            <v xml:space="preserve"> </v>
          </cell>
          <cell r="AC19">
            <v>43260</v>
          </cell>
          <cell r="AD19" t="str">
            <v xml:space="preserve">OLGA LUCÍA ARANGO  </v>
          </cell>
          <cell r="AE19" t="str">
            <v>OFICINA ASESORA DE PLANEACION</v>
          </cell>
          <cell r="AF19"/>
          <cell r="AG19"/>
          <cell r="AH19"/>
          <cell r="AI19"/>
          <cell r="AJ19">
            <v>31.333333333333336</v>
          </cell>
          <cell r="AK19"/>
          <cell r="AL19" t="str">
            <v xml:space="preserve">2318 </v>
          </cell>
        </row>
        <row r="20">
          <cell r="A20">
            <v>114</v>
          </cell>
          <cell r="B20" t="str">
            <v>019-2018</v>
          </cell>
          <cell r="C20" t="str">
            <v>DANIEL FERNANDO LOZANO TOSCANO</v>
          </cell>
          <cell r="D20">
            <v>1</v>
          </cell>
          <cell r="E20" t="str">
            <v>C.C.</v>
          </cell>
          <cell r="F20">
            <v>1106890789</v>
          </cell>
          <cell r="G20" t="str">
            <v>HOMBRE</v>
          </cell>
          <cell r="H20">
            <v>43109</v>
          </cell>
          <cell r="I20" t="str">
            <v>Prestar servicios profesionales en la Oficina Asesora de Planeación para apoyar el mejoramiento funcional de las herramientas y documentación del Sistema Integrado de Gestión de Función Pública, bajo los lineamientos del Modelo Integrado de Planeación y Gestión (MIPG) y demás requisitos aplicables a la Entidad.</v>
          </cell>
          <cell r="J20" t="str">
            <v>CONTRATACIÓN DIRECTA</v>
          </cell>
          <cell r="K20" t="str">
            <v>PRESTACION DE SERVICIOS PROFESIONALES</v>
          </cell>
          <cell r="L20" t="str">
            <v xml:space="preserve">(5) $ 3.604.000                        </v>
          </cell>
          <cell r="M20">
            <v>18020000</v>
          </cell>
          <cell r="N20"/>
          <cell r="O20">
            <v>18020000</v>
          </cell>
          <cell r="P20" t="str">
            <v>Cinco (5) mensualidades vencidas, cada una por valor de TRES MILLONES SEISCIENTOS CUATRO MIL PESOS ($3.604.000) M/CTE</v>
          </cell>
          <cell r="Q20" t="str">
            <v>7218  2018 04 Enero 2018</v>
          </cell>
          <cell r="R20" t="str">
            <v>IMPLEMENTACIÓN Y FORTALECIMIENTO DE LAS POLITICAS LIDERADAS POR FUNCION PUBLICA A NIVEL NACIONAL</v>
          </cell>
          <cell r="S20" t="str">
            <v>CSF</v>
          </cell>
          <cell r="T20" t="str">
            <v>4618-2018 10 Enero 2018</v>
          </cell>
          <cell r="U20" t="str">
            <v>N/A</v>
          </cell>
          <cell r="V20" t="str">
            <v>N/A</v>
          </cell>
          <cell r="W20" t="str">
            <v>N/A</v>
          </cell>
          <cell r="X20" t="str">
            <v>Cinco (05) meses, contado a partir del perfeccionamiento del mismo y registro presupuestal.</v>
          </cell>
          <cell r="Y20">
            <v>43110</v>
          </cell>
          <cell r="Z20">
            <v>43260</v>
          </cell>
          <cell r="AA20">
            <v>150</v>
          </cell>
          <cell r="AB20" t="str">
            <v xml:space="preserve"> </v>
          </cell>
          <cell r="AC20">
            <v>43260</v>
          </cell>
          <cell r="AD20" t="str">
            <v xml:space="preserve">OLGA LUCÍA ARANGO  </v>
          </cell>
          <cell r="AE20" t="str">
            <v>OFICINA ASESORA DE PLANEACION</v>
          </cell>
          <cell r="AF20"/>
          <cell r="AG20"/>
          <cell r="AH20"/>
          <cell r="AI20"/>
          <cell r="AJ20">
            <v>31.333333333333336</v>
          </cell>
          <cell r="AK20"/>
          <cell r="AL20" t="str">
            <v xml:space="preserve">7218 </v>
          </cell>
        </row>
        <row r="21">
          <cell r="A21">
            <v>64</v>
          </cell>
          <cell r="B21" t="str">
            <v>020-2018</v>
          </cell>
          <cell r="C21" t="str">
            <v>MARIA HERRERA PARDO</v>
          </cell>
          <cell r="D21">
            <v>1</v>
          </cell>
          <cell r="E21" t="str">
            <v>C.C.</v>
          </cell>
          <cell r="F21">
            <v>1020746304</v>
          </cell>
          <cell r="G21" t="str">
            <v>MUJER</v>
          </cell>
          <cell r="H21">
            <v>43109</v>
          </cell>
          <cell r="I21" t="str">
            <v>Prestar servicios profesionales en la Direccion General  de Función Pública, para apoyar desde una perspectiva comunicacional, la implementación y consolidación de la Estrategia de Cambio Cultural.</v>
          </cell>
          <cell r="J21" t="str">
            <v>CONTRATACIÓN DIRECTA</v>
          </cell>
          <cell r="K21" t="str">
            <v>PRESTACION DE SERVICIOS PROFESIONALES</v>
          </cell>
          <cell r="L21" t="str">
            <v xml:space="preserve">(5) $ 3.895.000                        </v>
          </cell>
          <cell r="M21">
            <v>19475000</v>
          </cell>
          <cell r="N21"/>
          <cell r="O21">
            <v>19475000</v>
          </cell>
          <cell r="P21" t="str">
            <v>Cinco (5) mensualidades vencidas, cada una por valor de TRES MILLONES OCHOCIENTOS NOVENTA YCINCO MIL PESOS ($3’895.000) M/CTE.</v>
          </cell>
          <cell r="Q21" t="str">
            <v>2818  2018 04 Enero 2018</v>
          </cell>
          <cell r="R21" t="str">
            <v>IMPLEMENTACIÓN Y FORTALECIMIENTO DE LAS POLITICAS LIDERADAS POR FUNCION PUBLICA A NIVEL NACIONAL</v>
          </cell>
          <cell r="S21" t="str">
            <v>CSF</v>
          </cell>
          <cell r="T21" t="str">
            <v>6918-2018 15 Enero 2018</v>
          </cell>
          <cell r="U21" t="str">
            <v>N/A</v>
          </cell>
          <cell r="V21" t="str">
            <v>N/A</v>
          </cell>
          <cell r="W21" t="str">
            <v>N/A</v>
          </cell>
          <cell r="X21" t="str">
            <v>Cinco (05) meses, contado a partir del perfeccionamiento del mismo y registro presupuestal.</v>
          </cell>
          <cell r="Y21">
            <v>43115</v>
          </cell>
          <cell r="Z21">
            <v>43265</v>
          </cell>
          <cell r="AA21">
            <v>150</v>
          </cell>
          <cell r="AB21" t="str">
            <v xml:space="preserve"> </v>
          </cell>
          <cell r="AC21">
            <v>43265</v>
          </cell>
          <cell r="AD21" t="str">
            <v xml:space="preserve">EDINSON GABRIEL MALAGÓN MAYORGA </v>
          </cell>
          <cell r="AE21" t="str">
            <v>DIRECCION GENERAL</v>
          </cell>
          <cell r="AF21" t="str">
            <v>LAURA CORDOBA REYES</v>
          </cell>
          <cell r="AG21"/>
          <cell r="AH21"/>
          <cell r="AI21"/>
          <cell r="AJ21">
            <v>28.000000000000004</v>
          </cell>
          <cell r="AK21"/>
          <cell r="AL21" t="str">
            <v xml:space="preserve">2818 </v>
          </cell>
        </row>
        <row r="22">
          <cell r="A22">
            <v>91</v>
          </cell>
          <cell r="B22" t="str">
            <v>021-2018</v>
          </cell>
          <cell r="C22" t="str">
            <v>LEIDY CAROLINA MOGOLLON DELGADO</v>
          </cell>
          <cell r="D22">
            <v>1</v>
          </cell>
          <cell r="E22" t="str">
            <v>C.C.</v>
          </cell>
          <cell r="F22">
            <v>1101074338</v>
          </cell>
          <cell r="G22" t="str">
            <v>MUJER</v>
          </cell>
          <cell r="H22">
            <v>43109</v>
          </cell>
          <cell r="I22" t="str">
            <v>Prestar servicios profesionales en la Dirección de Gestión del Conocimiento de Función Pública, para apoyar el fortalecimiento de la producción escrita a través de la revisión documental y estandarización del proceso editorial de la Entidad, así como el seguimiento a la implementación de la dimensión de gestión del conocimiento y la innovación del MIPG.</v>
          </cell>
          <cell r="J22" t="str">
            <v>CONTRATACIÓN DIRECTA</v>
          </cell>
          <cell r="K22" t="str">
            <v>PRESTACION DE SERVICIOS PROFESIONALES</v>
          </cell>
          <cell r="L22" t="str">
            <v xml:space="preserve">(5) $ 4.897.000                        </v>
          </cell>
          <cell r="M22">
            <v>24485000</v>
          </cell>
          <cell r="N22"/>
          <cell r="O22">
            <v>24485000</v>
          </cell>
          <cell r="P22" t="str">
            <v>Cinco (5) mensualidades vencidas, cada una por valor de CUATRO MILLONES OCHOCIENTOS NOVENTA Y SIETE MIL PESOS ($4’897.000) M/CTE.</v>
          </cell>
          <cell r="Q22" t="str">
            <v>5118  2018 04 Enero 2018</v>
          </cell>
          <cell r="R22" t="str">
            <v>MEJORAMIENTO DE LA GESTION DE LAS POLITICAS PUBLICAS A TRAVES DE LAS TECNOLOGIAS DE INFORMACION TICS</v>
          </cell>
          <cell r="S22" t="str">
            <v>CSF</v>
          </cell>
          <cell r="T22" t="str">
            <v>2718-2018 09 Enero 2018</v>
          </cell>
          <cell r="U22" t="str">
            <v>N/A</v>
          </cell>
          <cell r="V22" t="str">
            <v>N/A</v>
          </cell>
          <cell r="W22" t="str">
            <v>N/A</v>
          </cell>
          <cell r="X22" t="str">
            <v>Cinco (05) meses, contado a partir del perfeccionamiento del mismo y registro presupuestal.</v>
          </cell>
          <cell r="Y22">
            <v>43109</v>
          </cell>
          <cell r="Z22">
            <v>43259</v>
          </cell>
          <cell r="AA22">
            <v>150</v>
          </cell>
          <cell r="AB22" t="str">
            <v xml:space="preserve"> </v>
          </cell>
          <cell r="AC22">
            <v>43259</v>
          </cell>
          <cell r="AD22" t="str">
            <v xml:space="preserve">DIEGO ALEJANDRO BELTRAN OGILVIE-BROWNE </v>
          </cell>
          <cell r="AE22" t="str">
            <v>DIRECCION DE GESTION DEL CONOCIMIENTO</v>
          </cell>
          <cell r="AF22"/>
          <cell r="AG22"/>
          <cell r="AH22"/>
          <cell r="AI22"/>
          <cell r="AJ22">
            <v>32</v>
          </cell>
          <cell r="AK22"/>
          <cell r="AL22" t="str">
            <v xml:space="preserve">5118 </v>
          </cell>
        </row>
        <row r="23">
          <cell r="A23">
            <v>67</v>
          </cell>
          <cell r="B23" t="str">
            <v>022-2018</v>
          </cell>
          <cell r="C23" t="str">
            <v>LINA MARIA RICAURTE SIERRA</v>
          </cell>
          <cell r="D23">
            <v>1</v>
          </cell>
          <cell r="E23" t="str">
            <v>C.C.</v>
          </cell>
          <cell r="F23">
            <v>1020744431</v>
          </cell>
          <cell r="G23" t="str">
            <v>MUJER</v>
          </cell>
          <cell r="H23">
            <v>43109</v>
          </cell>
          <cell r="I23" t="str">
            <v>Prestar servicios profesionales en la Dirección General de Función Pública, para apoyar las actividades relacionadas con la implementación y seguimiento de la Estrategia de Gestión Internacional de la Entidad.</v>
          </cell>
          <cell r="J23" t="str">
            <v>CONTRATACIÓN DIRECTA</v>
          </cell>
          <cell r="K23" t="str">
            <v>PRESTACION DE SERVICIOS PROFESIONALES</v>
          </cell>
          <cell r="L23" t="str">
            <v xml:space="preserve">(5) $ 3.895.000                        </v>
          </cell>
          <cell r="M23">
            <v>19475000</v>
          </cell>
          <cell r="N23"/>
          <cell r="O23">
            <v>19475000</v>
          </cell>
          <cell r="P23" t="str">
            <v>Cinco (5) mensualidades vencidas, cada una por valor de TRES MILLONES OCHOCIENTOS NOVENTA Y CINCO MIL PESOS ($3.895.000) M/CTE.</v>
          </cell>
          <cell r="Q23" t="str">
            <v>3118  2018 04 Enero 2018</v>
          </cell>
          <cell r="R23" t="str">
            <v>IMPLEMENTACIÓN Y FORTALECIMIENTO DE LAS POLITICAS LIDERADAS POR FUNCION PUBLICA A NIVEL NACIONAL</v>
          </cell>
          <cell r="S23" t="str">
            <v>CSF</v>
          </cell>
          <cell r="T23" t="str">
            <v>6218-2018 12 Enero 2018</v>
          </cell>
          <cell r="U23" t="str">
            <v>N/A</v>
          </cell>
          <cell r="V23" t="str">
            <v>N/A</v>
          </cell>
          <cell r="W23" t="str">
            <v>N/A</v>
          </cell>
          <cell r="X23" t="str">
            <v>Cinco (05) meses, contado a partir del perfeccionamiento del mismo y registro presupuestal.</v>
          </cell>
          <cell r="Y23">
            <v>43112</v>
          </cell>
          <cell r="Z23">
            <v>43262</v>
          </cell>
          <cell r="AA23">
            <v>150</v>
          </cell>
          <cell r="AB23" t="str">
            <v xml:space="preserve"> </v>
          </cell>
          <cell r="AC23">
            <v>43262</v>
          </cell>
          <cell r="AD23" t="str">
            <v xml:space="preserve">JULIANA TORREO QUIJANO </v>
          </cell>
          <cell r="AE23" t="str">
            <v>DIRECCION GENERAL</v>
          </cell>
          <cell r="AF23"/>
          <cell r="AG23"/>
          <cell r="AH23"/>
          <cell r="AI23"/>
          <cell r="AJ23">
            <v>30</v>
          </cell>
          <cell r="AK23"/>
          <cell r="AL23" t="str">
            <v xml:space="preserve">3118 </v>
          </cell>
        </row>
        <row r="24">
          <cell r="A24">
            <v>115</v>
          </cell>
          <cell r="B24" t="str">
            <v>023-2018</v>
          </cell>
          <cell r="C24" t="str">
            <v>JOHANNA JIMENEZ CORREA</v>
          </cell>
          <cell r="D24">
            <v>1</v>
          </cell>
          <cell r="E24" t="str">
            <v>C.C.</v>
          </cell>
          <cell r="F24">
            <v>1022345901</v>
          </cell>
          <cell r="G24" t="str">
            <v>MUJER</v>
          </cell>
          <cell r="H24">
            <v>43109</v>
          </cell>
          <cell r="I24" t="str">
            <v>Prestar servicios profesionales en la Oficina Asesora de Planeación de Función Pública para apoyar la formulación y monitoreo del Plan de Acción Anual 2018, así como el seguimiento de las metas e indicadores del Plan Nacional de Desarrollo, Plan Estratégico Sectorial y Plan de Acción Anual.</v>
          </cell>
          <cell r="J24" t="str">
            <v>CONTRATACIÓN DIRECTA</v>
          </cell>
          <cell r="K24" t="str">
            <v>PRESTACION DE SERVICIOS PROFESIONALES</v>
          </cell>
          <cell r="L24" t="str">
            <v xml:space="preserve">(5) $ 5.512.000                        </v>
          </cell>
          <cell r="M24">
            <v>27560000</v>
          </cell>
          <cell r="N24"/>
          <cell r="O24">
            <v>27560000</v>
          </cell>
          <cell r="P24" t="str">
            <v>Cinco (5) mensualidades vencidas, cada una por valor de CINCO MILLONES QUINIENTOS DOCE MIL PESOS ($5’512.000) M/CTE.</v>
          </cell>
          <cell r="Q24" t="str">
            <v>7318  2018 04 Enero 2018</v>
          </cell>
          <cell r="R24" t="str">
            <v>IMPLEMENTACIÓN Y FORTALECIMIENTO DE LAS POLITICAS LIDERADAS POR FUNCION PUBLICA A NIVEL NACIONAL</v>
          </cell>
          <cell r="S24" t="str">
            <v>CSF</v>
          </cell>
          <cell r="T24" t="str">
            <v>5418-2018 11 Enero 2018</v>
          </cell>
          <cell r="U24" t="str">
            <v>N/A</v>
          </cell>
          <cell r="V24" t="str">
            <v>N/A</v>
          </cell>
          <cell r="W24" t="str">
            <v>N/A</v>
          </cell>
          <cell r="X24" t="str">
            <v>Cinco (05) meses, contado a partir del perfeccionamiento del mismo y registro presupuestal.</v>
          </cell>
          <cell r="Y24">
            <v>43111</v>
          </cell>
          <cell r="Z24">
            <v>43261</v>
          </cell>
          <cell r="AA24">
            <v>150</v>
          </cell>
          <cell r="AB24" t="str">
            <v xml:space="preserve"> </v>
          </cell>
          <cell r="AC24">
            <v>43261</v>
          </cell>
          <cell r="AD24" t="str">
            <v xml:space="preserve">GUILLERMO MARTINEZ DAZA </v>
          </cell>
          <cell r="AE24" t="str">
            <v>OFICINA ASESORA DE PLANEACION</v>
          </cell>
          <cell r="AF24"/>
          <cell r="AG24"/>
          <cell r="AH24"/>
          <cell r="AI24"/>
          <cell r="AJ24">
            <v>30.666666666666664</v>
          </cell>
          <cell r="AK24"/>
          <cell r="AL24" t="str">
            <v xml:space="preserve">7318 </v>
          </cell>
        </row>
        <row r="25">
          <cell r="A25">
            <v>97</v>
          </cell>
          <cell r="B25" t="str">
            <v>024-2018</v>
          </cell>
          <cell r="C25" t="str">
            <v>LAURA CAMILA RONDON LIZARAZO</v>
          </cell>
          <cell r="D25">
            <v>1</v>
          </cell>
          <cell r="E25" t="str">
            <v>C.C.</v>
          </cell>
          <cell r="F25">
            <v>1015427655</v>
          </cell>
          <cell r="G25" t="str">
            <v>MUJER</v>
          </cell>
          <cell r="H25">
            <v>43109</v>
          </cell>
          <cell r="I25" t="str">
            <v>Prestar servicios profesionales en la Dirección de Participación, Transparencia y Servicio al Ciudadano de Función Pública, para apoyar la implementación de herramientas para la Política de Integridad, así como el seguimiento de metas, y compromisos nacionales e internacionales en materia de democratización de la administración pública a cargo de dicha dependencia.</v>
          </cell>
          <cell r="J25" t="str">
            <v>CONTRATACIÓN DIRECTA</v>
          </cell>
          <cell r="K25" t="str">
            <v>PRESTACION DE SERVICIOS PROFESIONALES</v>
          </cell>
          <cell r="L25" t="str">
            <v xml:space="preserve">(5) $ 3.895.000                        </v>
          </cell>
          <cell r="M25">
            <v>19475000</v>
          </cell>
          <cell r="N25"/>
          <cell r="O25">
            <v>19475000</v>
          </cell>
          <cell r="P25" t="str">
            <v>Cinco (5) mensualidades vencidas, cada una por valor de TRES MILLONES OCHOCIENTOS NOVENTA Y CINCO MIL PESOS ($3’895.000) M/CTE.</v>
          </cell>
          <cell r="Q25" t="str">
            <v>5718  2018 04 Enero 2018</v>
          </cell>
          <cell r="R25" t="str">
            <v>IMPLEMENTACIÓN Y FORTALECIMIENTO DE LAS POLITICAS LIDERADAS POR FUNCION PUBLICA A NIVEL NACIONAL</v>
          </cell>
          <cell r="S25" t="str">
            <v>CSF</v>
          </cell>
          <cell r="T25" t="str">
            <v>3418-2018 09 Enero 2018</v>
          </cell>
          <cell r="U25" t="str">
            <v>N/A</v>
          </cell>
          <cell r="V25" t="str">
            <v>N/A</v>
          </cell>
          <cell r="W25" t="str">
            <v>N/A</v>
          </cell>
          <cell r="X25" t="str">
            <v>Cinco (05) meses, contado a partir del perfeccionamiento del mismo y registro presupuestal.</v>
          </cell>
          <cell r="Y25">
            <v>43109</v>
          </cell>
          <cell r="Z25">
            <v>43259</v>
          </cell>
          <cell r="AA25">
            <v>150</v>
          </cell>
          <cell r="AB25" t="str">
            <v xml:space="preserve"> </v>
          </cell>
          <cell r="AC25">
            <v>43259</v>
          </cell>
          <cell r="AD25" t="str">
            <v xml:space="preserve">FERNANDO AUGUSTO SEGURA RESTREPO </v>
          </cell>
          <cell r="AE25" t="str">
            <v>DIRECCION DE PARTICIPACION, TRANSPARENCIA Y SERVICIO AL CIUDADANO</v>
          </cell>
          <cell r="AF25"/>
          <cell r="AG25"/>
          <cell r="AH25"/>
          <cell r="AI25"/>
          <cell r="AJ25">
            <v>32</v>
          </cell>
          <cell r="AK25"/>
          <cell r="AL25" t="str">
            <v xml:space="preserve">5718 </v>
          </cell>
        </row>
        <row r="26">
          <cell r="A26">
            <v>92</v>
          </cell>
          <cell r="B26" t="str">
            <v>025-2018</v>
          </cell>
          <cell r="C26" t="str">
            <v>SARA RESTREPO PEREZ</v>
          </cell>
          <cell r="D26">
            <v>1</v>
          </cell>
          <cell r="E26" t="str">
            <v>C.C.</v>
          </cell>
          <cell r="F26">
            <v>1026273968</v>
          </cell>
          <cell r="G26" t="str">
            <v>MUJER</v>
          </cell>
          <cell r="H26">
            <v>43109</v>
          </cell>
          <cell r="I26" t="str">
            <v>Prestar servicios profesionales en la Dirección de Gestión del Conocimiento de Función Pública, para apoyar la difusión de las herramientas desarrolladas en el marco del convenio N° 779 de 2016 con Colciencias y apoyar la implementación de la dimensión de gestión del conocimiento y la innovación del Modelo Integrado de Planeación y Gestión -MIPG.</v>
          </cell>
          <cell r="J26" t="str">
            <v>CONTRATACIÓN DIRECTA</v>
          </cell>
          <cell r="K26" t="str">
            <v>PRESTACION DE SERVICIOS PROFESIONALES</v>
          </cell>
          <cell r="L26" t="str">
            <v xml:space="preserve">(5) $ 3.895.000                        </v>
          </cell>
          <cell r="M26">
            <v>19475000</v>
          </cell>
          <cell r="N26"/>
          <cell r="O26">
            <v>19475000</v>
          </cell>
          <cell r="P26" t="str">
            <v>Cinco (5) mensualidades vencidas, cada una por valor de TRES MILLONES OCHOCIENTOS NOVENTA Y CINCO MIL PESOS ($3’895.000) M/CTE.</v>
          </cell>
          <cell r="Q26" t="str">
            <v>5218  2018 04 Enero 2018</v>
          </cell>
          <cell r="R26" t="str">
            <v>IMPLEMENTACIÓN Y FORTALECIMIENTO DE LAS POLITICAS LIDERADAS POR FUNCION PUBLICA A NIVEL NACIONAL</v>
          </cell>
          <cell r="S26" t="str">
            <v>CSF</v>
          </cell>
          <cell r="T26" t="str">
            <v>3218-2018 09 Enero 2018</v>
          </cell>
          <cell r="U26" t="str">
            <v>N/A</v>
          </cell>
          <cell r="V26" t="str">
            <v>N/A</v>
          </cell>
          <cell r="W26" t="str">
            <v>N/A</v>
          </cell>
          <cell r="X26" t="str">
            <v>Cinco (05) meses, contado a partir del perfeccionamiento del mismo y registro presupuestal.</v>
          </cell>
          <cell r="Y26">
            <v>43109</v>
          </cell>
          <cell r="Z26">
            <v>43259</v>
          </cell>
          <cell r="AA26">
            <v>150</v>
          </cell>
          <cell r="AB26" t="str">
            <v xml:space="preserve"> </v>
          </cell>
          <cell r="AC26">
            <v>43259</v>
          </cell>
          <cell r="AD26" t="str">
            <v xml:space="preserve">DIEGO ALEJANDRO BELTRAN OGILVIE-BROWNE </v>
          </cell>
          <cell r="AE26" t="str">
            <v>DIRECCION DE GESTION DEL CONOCIMIENTO</v>
          </cell>
          <cell r="AF26"/>
          <cell r="AG26"/>
          <cell r="AH26"/>
          <cell r="AI26"/>
          <cell r="AJ26">
            <v>32</v>
          </cell>
          <cell r="AK26"/>
          <cell r="AL26" t="str">
            <v xml:space="preserve">5218 </v>
          </cell>
        </row>
        <row r="27">
          <cell r="A27">
            <v>99</v>
          </cell>
          <cell r="B27" t="str">
            <v>026-2018</v>
          </cell>
          <cell r="C27" t="str">
            <v>ANA MILENA CACERES CASTRO</v>
          </cell>
          <cell r="D27">
            <v>2</v>
          </cell>
          <cell r="E27" t="str">
            <v>C.C.</v>
          </cell>
          <cell r="F27">
            <v>52882227</v>
          </cell>
          <cell r="G27" t="str">
            <v>MUJER</v>
          </cell>
          <cell r="H27">
            <v>43109</v>
          </cell>
          <cell r="I27" t="str">
            <v>Prestar servicios profesionales en la Dirección de Participación, Transparencia y Servicio al Ciudadano de Función Pública, para apoyar la orientación jurídica de las estrategias, instrumentos y de los proyectos normativos requeridos para la implementación de las políticas a cargo de ésta dependencia.</v>
          </cell>
          <cell r="J27" t="str">
            <v>CONTRATACIÓN DIRECTA</v>
          </cell>
          <cell r="K27" t="str">
            <v>PRESTACION DE SERVICIOS PROFESIONALES</v>
          </cell>
          <cell r="L27" t="str">
            <v xml:space="preserve">(5) $ 7.350.000                        </v>
          </cell>
          <cell r="M27">
            <v>36750000</v>
          </cell>
          <cell r="N27"/>
          <cell r="O27">
            <v>36750000</v>
          </cell>
          <cell r="P27" t="str">
            <v>Cinco (5) mensualidades vencidas, cada una por valor de SIETE MILLONES TRESCIENTOS CINCUENTA MIL PESOS ($7.350.000) M/CTE.</v>
          </cell>
          <cell r="Q27" t="str">
            <v>5918  2018 04 Enero 2018</v>
          </cell>
          <cell r="R27" t="str">
            <v>IMPLEMENTACIÓN Y FORTALECIMIENTO DE LAS POLITICAS LIDERADAS POR FUNCION PUBLICA A NIVEL NACIONAL</v>
          </cell>
          <cell r="S27" t="str">
            <v>CSF</v>
          </cell>
          <cell r="T27" t="str">
            <v>3018-2018 09 Enero 2018</v>
          </cell>
          <cell r="U27" t="str">
            <v>N/A</v>
          </cell>
          <cell r="V27" t="str">
            <v>N/A</v>
          </cell>
          <cell r="W27" t="str">
            <v>N/A</v>
          </cell>
          <cell r="X27" t="str">
            <v>Cinco (05) meses, contado a partir del perfeccionamiento del mismo y registro presupuestal.</v>
          </cell>
          <cell r="Y27">
            <v>43109</v>
          </cell>
          <cell r="Z27">
            <v>43259</v>
          </cell>
          <cell r="AA27">
            <v>150</v>
          </cell>
          <cell r="AB27" t="str">
            <v xml:space="preserve"> </v>
          </cell>
          <cell r="AC27">
            <v>43259</v>
          </cell>
          <cell r="AD27" t="str">
            <v xml:space="preserve">FERNANDO AUGUSTO SEGURA RESTREPO </v>
          </cell>
          <cell r="AE27" t="str">
            <v>DIRECCION DE PARTICIPACION, TRANSPARENCIA Y SERVICIO AL CIUDADANO</v>
          </cell>
          <cell r="AF27"/>
          <cell r="AG27" t="str">
            <v>TERMINACIÓN ANTICIPADA 26 DE ENERO DE 2018</v>
          </cell>
          <cell r="AH27"/>
          <cell r="AI27"/>
          <cell r="AJ27">
            <v>32</v>
          </cell>
          <cell r="AK27"/>
          <cell r="AL27" t="str">
            <v xml:space="preserve">5918 </v>
          </cell>
        </row>
        <row r="28">
          <cell r="A28">
            <v>82</v>
          </cell>
          <cell r="B28" t="str">
            <v>027-2018</v>
          </cell>
          <cell r="C28" t="str">
            <v>ALEXANDER MARQUEZ RIOS</v>
          </cell>
          <cell r="D28">
            <v>1</v>
          </cell>
          <cell r="E28" t="str">
            <v>C.C.</v>
          </cell>
          <cell r="F28">
            <v>79554836</v>
          </cell>
          <cell r="G28" t="str">
            <v>HOMBRE</v>
          </cell>
          <cell r="H28">
            <v>43109</v>
          </cell>
          <cell r="I28" t="str">
            <v>Prestar servicios profesionales en la Dirección de Empleo Publico de Función Pública para apoyar la implementación, revisión  y consolidación de los resultados del desarrollo de la política de Empleo Público y de la Gestión Estratégica del Talento Humano y proponer las recomendaciones y buenas prácticas que permitan hacer ajustes a las mismas.</v>
          </cell>
          <cell r="J28" t="str">
            <v>CONTRATACIÓN DIRECTA</v>
          </cell>
          <cell r="K28" t="str">
            <v>PRESTACION DE SERVICIOS PROFESIONALES</v>
          </cell>
          <cell r="L28" t="str">
            <v xml:space="preserve">(5) $ 8.736.000                        </v>
          </cell>
          <cell r="M28">
            <v>43680000</v>
          </cell>
          <cell r="N28"/>
          <cell r="O28">
            <v>43680000</v>
          </cell>
          <cell r="P28" t="str">
            <v>Cinco (5) mensualidades vencidas, cada una por valor de OCHO MILLONES SETECIENTOS TREINTA Y SEIS MIL PESOS ($8’736.000) M/CTE.</v>
          </cell>
          <cell r="Q28" t="str">
            <v>4218  2018 04 Enero 2018</v>
          </cell>
          <cell r="R28" t="str">
            <v>IMPLEMENTACIÓN Y FORTALECIMIENTO DE LAS POLITICAS LIDERADAS POR FUNCION PUBLICA A NIVEL NACIONAL</v>
          </cell>
          <cell r="S28" t="str">
            <v>CSF</v>
          </cell>
          <cell r="T28" t="str">
            <v>5918-2018 12 Enero 2018</v>
          </cell>
          <cell r="U28" t="str">
            <v>N/A</v>
          </cell>
          <cell r="V28" t="str">
            <v>N/A</v>
          </cell>
          <cell r="W28" t="str">
            <v>N/A</v>
          </cell>
          <cell r="X28" t="str">
            <v>Cinco (05) meses, contado a partir del perfeccionamiento del mismo y registro presupuestal.</v>
          </cell>
          <cell r="Y28">
            <v>43112</v>
          </cell>
          <cell r="Z28">
            <v>43262</v>
          </cell>
          <cell r="AA28">
            <v>150</v>
          </cell>
          <cell r="AB28" t="str">
            <v xml:space="preserve"> </v>
          </cell>
          <cell r="AC28">
            <v>43262</v>
          </cell>
          <cell r="AD28" t="str">
            <v>FRANCISCO ALFONSO CAMARGO SALAS</v>
          </cell>
          <cell r="AE28" t="str">
            <v>DIRECCION DE EMPLEO PUBLICO</v>
          </cell>
          <cell r="AF28"/>
          <cell r="AG28"/>
          <cell r="AH28"/>
          <cell r="AI28"/>
          <cell r="AJ28">
            <v>30</v>
          </cell>
          <cell r="AK28"/>
          <cell r="AL28" t="str">
            <v xml:space="preserve">4218 </v>
          </cell>
        </row>
        <row r="29">
          <cell r="A29">
            <v>95</v>
          </cell>
          <cell r="B29" t="str">
            <v>028-2018</v>
          </cell>
          <cell r="C29" t="str">
            <v>VIRGINIA GUEVARA SIERRA</v>
          </cell>
          <cell r="D29">
            <v>1</v>
          </cell>
          <cell r="E29" t="str">
            <v>C.C.</v>
          </cell>
          <cell r="F29">
            <v>52222629</v>
          </cell>
          <cell r="G29" t="str">
            <v>MUJER</v>
          </cell>
          <cell r="H29">
            <v>43109</v>
          </cell>
          <cell r="I29" t="str">
            <v>Prestar servicios profesionales  para apoyar la actualizacion de herramientas orientadas a facilitar la implementacion  de las politicas a cargo de la Dirección de Participación, Transparencia y Servicio al Ciudadano de Función Pública, asi como la validación metodológica para la adecuada implementación de las mismas por parte de las entidades públicas.</v>
          </cell>
          <cell r="J29" t="str">
            <v>CONTRATACIÓN DIRECTA</v>
          </cell>
          <cell r="K29" t="str">
            <v>PRESTACION DE SERVICIOS PROFESIONALES</v>
          </cell>
          <cell r="L29" t="str">
            <v xml:space="preserve">(5) $ 7.350.000                        </v>
          </cell>
          <cell r="M29">
            <v>36750000</v>
          </cell>
          <cell r="N29"/>
          <cell r="O29">
            <v>36750000</v>
          </cell>
          <cell r="P29" t="str">
            <v>Cinco (5) mensualidades vencidas, cada una por valor de SIETE MILLONES TRESCIENTOS CINCUENTA MIL PESOS ($7’350.000) M/CTE.</v>
          </cell>
          <cell r="Q29" t="str">
            <v>5518  2018 04 Enero 2018</v>
          </cell>
          <cell r="R29" t="str">
            <v>IMPLEMENTACIÓN Y FORTALECIMIENTO DE LAS POLITICAS LIDERADAS POR FUNCION PUBLICA A NIVEL NACIONAL</v>
          </cell>
          <cell r="S29" t="str">
            <v>CSF</v>
          </cell>
          <cell r="T29" t="str">
            <v>2818-2018 09 Enero 2018</v>
          </cell>
          <cell r="U29" t="str">
            <v>N/A</v>
          </cell>
          <cell r="V29" t="str">
            <v>N/A</v>
          </cell>
          <cell r="W29" t="str">
            <v>N/A</v>
          </cell>
          <cell r="X29" t="str">
            <v>Cinco (05) meses, contado a partir del perfeccionamiento del mismo y registro presupuestal.</v>
          </cell>
          <cell r="Y29">
            <v>43109</v>
          </cell>
          <cell r="Z29">
            <v>43259</v>
          </cell>
          <cell r="AA29">
            <v>150</v>
          </cell>
          <cell r="AB29" t="str">
            <v xml:space="preserve"> </v>
          </cell>
          <cell r="AC29">
            <v>43259</v>
          </cell>
          <cell r="AD29" t="str">
            <v xml:space="preserve">ELSA YANUBA QUIÑONES </v>
          </cell>
          <cell r="AE29" t="str">
            <v>DIRECCION DE PARTICIPACION, TRANSPARENCIA Y SERVICIO AL CIUDADANO</v>
          </cell>
          <cell r="AF29"/>
          <cell r="AG29"/>
          <cell r="AH29"/>
          <cell r="AI29"/>
          <cell r="AJ29">
            <v>32</v>
          </cell>
          <cell r="AK29"/>
          <cell r="AL29" t="str">
            <v xml:space="preserve">5518 </v>
          </cell>
        </row>
        <row r="30">
          <cell r="A30">
            <v>87</v>
          </cell>
          <cell r="B30" t="str">
            <v>029-2018</v>
          </cell>
          <cell r="C30" t="str">
            <v>ROSA MARIA BOLAÑOS TOVAR</v>
          </cell>
          <cell r="D30">
            <v>1</v>
          </cell>
          <cell r="E30" t="str">
            <v>C.C.</v>
          </cell>
          <cell r="F30">
            <v>55196218</v>
          </cell>
          <cell r="G30" t="str">
            <v>MUJER</v>
          </cell>
          <cell r="H30">
            <v>43109</v>
          </cell>
          <cell r="I30" t="str">
            <v>Prestar servicios profesionales en la Dirección de Deasarrollo Organizacional de Función Pública, para apoyar la implementación de la Estrategía de Gestión Territorial, en materia de seguimiento a la ejecución de metas y recursos, asi como frente al control de las asesorías.</v>
          </cell>
          <cell r="J30" t="str">
            <v>CONTRATACIÓN DIRECTA</v>
          </cell>
          <cell r="K30" t="str">
            <v>PRESTACION DE SERVICIOS PROFESIONALES</v>
          </cell>
          <cell r="L30" t="str">
            <v xml:space="preserve">(5) $ 5.008.000                        </v>
          </cell>
          <cell r="M30">
            <v>25040000</v>
          </cell>
          <cell r="N30"/>
          <cell r="O30">
            <v>25040000</v>
          </cell>
          <cell r="P30" t="str">
            <v>Cinco (5) mensualidades vencidas, cada una por valor de CIINCO MILLONES OCHO MIL PESOS ($5’008.000) M/CTE.</v>
          </cell>
          <cell r="Q30" t="str">
            <v>4718  2018 04 Enero 2018</v>
          </cell>
          <cell r="R30" t="str">
            <v>DESARROLLO Y FORTALECIMIENTO DE CAPACIDADES DE LAS ENTIDADES TERRITORIALES DE LA CIRCUNSCRIPCIÓN NACIONAL</v>
          </cell>
          <cell r="S30" t="str">
            <v>CSF</v>
          </cell>
          <cell r="T30" t="str">
            <v>4718-2018 10 Enero 2018</v>
          </cell>
          <cell r="U30" t="str">
            <v>N/A</v>
          </cell>
          <cell r="V30" t="str">
            <v>N/A</v>
          </cell>
          <cell r="W30" t="str">
            <v>N/A</v>
          </cell>
          <cell r="X30" t="str">
            <v>Cinco (05) meses, contado a partir del perfeccionamiento del mismo y registro presupuestal.</v>
          </cell>
          <cell r="Y30">
            <v>43110</v>
          </cell>
          <cell r="Z30">
            <v>43260</v>
          </cell>
          <cell r="AA30">
            <v>150</v>
          </cell>
          <cell r="AB30" t="str">
            <v xml:space="preserve"> </v>
          </cell>
          <cell r="AC30">
            <v>43260</v>
          </cell>
          <cell r="AD30" t="str">
            <v>ALEJANDRO BECKER ROJAS</v>
          </cell>
          <cell r="AE30" t="str">
            <v xml:space="preserve">DIRECCION DE DESARROLLO ORGANIZACIONAL  </v>
          </cell>
          <cell r="AF30"/>
          <cell r="AG30"/>
          <cell r="AH30"/>
          <cell r="AI30"/>
          <cell r="AJ30">
            <v>31.333333333333336</v>
          </cell>
          <cell r="AK30"/>
          <cell r="AL30" t="str">
            <v xml:space="preserve">4718 </v>
          </cell>
        </row>
        <row r="31">
          <cell r="A31">
            <v>69</v>
          </cell>
          <cell r="B31" t="str">
            <v>030-2018</v>
          </cell>
          <cell r="C31" t="str">
            <v>SONIA ESTHER OSORIO VESGA</v>
          </cell>
          <cell r="D31">
            <v>1</v>
          </cell>
          <cell r="E31" t="str">
            <v>C.C.</v>
          </cell>
          <cell r="F31">
            <v>51704676</v>
          </cell>
          <cell r="G31" t="str">
            <v>MUJER</v>
          </cell>
          <cell r="H31">
            <v>43109</v>
          </cell>
          <cell r="I31" t="str">
            <v>Prestar servicios profesionales en la Subdirección, para apoyar la consolidación del modelo de gestión de Función Pública, asi como para efectuar el seguimiento e implementacion a los compromisos adquiridos pora las direcciones técnicas, en el marco de la apuesta estratégica institucional.</v>
          </cell>
          <cell r="J31" t="str">
            <v>CONTRATACIÓN DIRECTA</v>
          </cell>
          <cell r="K31" t="str">
            <v>PRESTACION DE SERVICIOS PROFESIONALES</v>
          </cell>
          <cell r="L31" t="str">
            <v xml:space="preserve">(5) $ 9.000.000                        </v>
          </cell>
          <cell r="M31">
            <v>45000000</v>
          </cell>
          <cell r="N31"/>
          <cell r="O31">
            <v>45000000</v>
          </cell>
          <cell r="P31" t="str">
            <v>Cinco (5) mensualidades vencidas, cada una por valor de NUEVE MILLONES DE PESOS ($9’000.000) M/CTE.</v>
          </cell>
          <cell r="Q31" t="str">
            <v>3318  2018 04 Enero 2018</v>
          </cell>
          <cell r="R31" t="str">
            <v>IMPLEMENTACIÓN Y FORTALECIMIENTO DE LAS POLITICAS LIDERADAS POR FUNCION PUBLICA A NIVEL NACIONAL</v>
          </cell>
          <cell r="S31" t="str">
            <v>CSF</v>
          </cell>
          <cell r="T31" t="str">
            <v>2918-2018 09 Enero 2018</v>
          </cell>
          <cell r="U31" t="str">
            <v>N/A</v>
          </cell>
          <cell r="V31" t="str">
            <v>N/A</v>
          </cell>
          <cell r="W31" t="str">
            <v>N/A</v>
          </cell>
          <cell r="X31" t="str">
            <v>Cinco (05) meses, contado a partir del perfeccionamiento del mismo y registro presupuestal.</v>
          </cell>
          <cell r="Y31">
            <v>43109</v>
          </cell>
          <cell r="Z31">
            <v>43259</v>
          </cell>
          <cell r="AA31">
            <v>150</v>
          </cell>
          <cell r="AB31" t="str">
            <v xml:space="preserve"> </v>
          </cell>
          <cell r="AC31">
            <v>43259</v>
          </cell>
          <cell r="AD31" t="str">
            <v>FERNANDO AUGUSTO MEDINA GUTIERREZ</v>
          </cell>
          <cell r="AE31" t="str">
            <v>SUBDIRECCIÓN</v>
          </cell>
          <cell r="AF31"/>
          <cell r="AG31"/>
          <cell r="AH31"/>
          <cell r="AI31"/>
          <cell r="AJ31">
            <v>32</v>
          </cell>
          <cell r="AK31"/>
          <cell r="AL31" t="str">
            <v xml:space="preserve">3318 </v>
          </cell>
        </row>
        <row r="32">
          <cell r="A32">
            <v>89</v>
          </cell>
          <cell r="B32" t="str">
            <v>031-2018</v>
          </cell>
          <cell r="C32" t="str">
            <v>JAIME ANDRES URAZAN LEAL</v>
          </cell>
          <cell r="D32">
            <v>1</v>
          </cell>
          <cell r="E32" t="str">
            <v>C.C.</v>
          </cell>
          <cell r="F32">
            <v>80100695</v>
          </cell>
          <cell r="G32" t="str">
            <v>HOMBRE</v>
          </cell>
          <cell r="H32">
            <v>43109</v>
          </cell>
          <cell r="I32" t="str">
            <v>Prestar servicios profesionales en la Dirección de Deasarrollo Organizacional de Función Pública, para apoyar los aspectos técnicos, metodológicos y financieros relacionados con la implementación de la tercera fase de la Estrategia de Gestión Territorial.</v>
          </cell>
          <cell r="J32" t="str">
            <v>CONTRATACIÓN DIRECTA</v>
          </cell>
          <cell r="K32" t="str">
            <v>PRESTACION DE SERVICIOS PROFESIONALES</v>
          </cell>
          <cell r="L32" t="str">
            <v xml:space="preserve">(5) $ 7.166.000                        </v>
          </cell>
          <cell r="M32">
            <v>35830000</v>
          </cell>
          <cell r="N32"/>
          <cell r="O32">
            <v>35830000</v>
          </cell>
          <cell r="P32" t="str">
            <v>Cinco (5) mensualidades vencidas, cada una por valor de SIETE MILLONES CIENTO SESENTA Y SEIS MIL PESOS ($7’166.000) M/CTE.</v>
          </cell>
          <cell r="Q32" t="str">
            <v>4918  2018 04 Enero 2018</v>
          </cell>
          <cell r="R32" t="str">
            <v>DESARROLLO Y FORTALECIMIENTO DE CAPACIDADES DE LAS ENTIDADES TERRITORIALES DE LA CIRCUNSCRIPCIÓN NACIONAL</v>
          </cell>
          <cell r="S32" t="str">
            <v>CSF</v>
          </cell>
          <cell r="T32" t="str">
            <v>4818-2018 10 Enero 2018</v>
          </cell>
          <cell r="U32" t="str">
            <v>N/A</v>
          </cell>
          <cell r="V32" t="str">
            <v>N/A</v>
          </cell>
          <cell r="W32" t="str">
            <v>N/A</v>
          </cell>
          <cell r="X32" t="str">
            <v>Cinco (05) meses, contado a partir del perfeccionamiento del mismo y registro presupuestal.</v>
          </cell>
          <cell r="Y32">
            <v>43110</v>
          </cell>
          <cell r="Z32">
            <v>43260</v>
          </cell>
          <cell r="AA32">
            <v>150</v>
          </cell>
          <cell r="AB32" t="str">
            <v xml:space="preserve"> </v>
          </cell>
          <cell r="AC32">
            <v>43260</v>
          </cell>
          <cell r="AD32" t="str">
            <v>ALEJANDRO BECKER ROJAS</v>
          </cell>
          <cell r="AE32" t="str">
            <v xml:space="preserve">DIRECCION DE DESARROLLO ORGANIZACIONAL  </v>
          </cell>
          <cell r="AF32"/>
          <cell r="AG32"/>
          <cell r="AH32"/>
          <cell r="AI32"/>
          <cell r="AJ32">
            <v>31.333333333333336</v>
          </cell>
          <cell r="AK32"/>
          <cell r="AL32" t="str">
            <v xml:space="preserve">4918 </v>
          </cell>
        </row>
        <row r="33">
          <cell r="A33">
            <v>88</v>
          </cell>
          <cell r="B33" t="str">
            <v>032-2018</v>
          </cell>
          <cell r="C33" t="str">
            <v>LINA MARÍA AYCARDI ALDANA</v>
          </cell>
          <cell r="D33">
            <v>1</v>
          </cell>
          <cell r="E33" t="str">
            <v>C.C.</v>
          </cell>
          <cell r="F33">
            <v>52414555</v>
          </cell>
          <cell r="G33" t="str">
            <v>MUJER</v>
          </cell>
          <cell r="H33">
            <v>43109</v>
          </cell>
          <cell r="I33" t="str">
            <v>Prestar servicios profesionales en la Dirección de Desarrollo Organizacional de Función Pública, para apoyar la implementación de la tercera fase de la Estrategia de Desarrollo de Capacidad de entidades públicas, a través de la elaboración de propuestas de rediseños, a partir de la estructuración y el aprovechamiento de análisis sectoriales en el marco del postconflicto.</v>
          </cell>
          <cell r="J33" t="str">
            <v>CONTRATACIÓN DIRECTA</v>
          </cell>
          <cell r="K33" t="str">
            <v>PRESTACION DE SERVICIOS PROFESIONALES</v>
          </cell>
          <cell r="L33" t="str">
            <v xml:space="preserve">(5) $ 9.000.000                        </v>
          </cell>
          <cell r="M33">
            <v>45000000</v>
          </cell>
          <cell r="N33"/>
          <cell r="O33">
            <v>45000000</v>
          </cell>
          <cell r="P33" t="str">
            <v>Cinco (5) mensualidades vencidas, cada una por valor de NUEVE MILLONES DE PESOS ($9.000.000) M/CTE</v>
          </cell>
          <cell r="Q33" t="str">
            <v>4818  2018 04 Enero 2018</v>
          </cell>
          <cell r="R33" t="str">
            <v>DESARROLLO Y FORTALECIMIENTO DE CAPACIDADES DE LAS ENTIDADES TERRITORIALES DE LA CIRCUNSCRIPCIÓN NACIONAL</v>
          </cell>
          <cell r="S33" t="str">
            <v>CSF</v>
          </cell>
          <cell r="T33" t="str">
            <v>7118-2018 15 Enero 2018</v>
          </cell>
          <cell r="U33" t="str">
            <v>N/A</v>
          </cell>
          <cell r="V33" t="str">
            <v>N/A</v>
          </cell>
          <cell r="W33" t="str">
            <v>N/A</v>
          </cell>
          <cell r="X33" t="str">
            <v>Cinco (05) meses, contado a partir del perfeccionamiento del mismo y registro presupuestal.</v>
          </cell>
          <cell r="Y33">
            <v>43115</v>
          </cell>
          <cell r="Z33">
            <v>43265</v>
          </cell>
          <cell r="AA33">
            <v>150</v>
          </cell>
          <cell r="AB33" t="str">
            <v xml:space="preserve"> </v>
          </cell>
          <cell r="AC33">
            <v>43265</v>
          </cell>
          <cell r="AD33" t="str">
            <v>ALEJANDRO BECKER ROJAS</v>
          </cell>
          <cell r="AE33" t="str">
            <v xml:space="preserve">DIRECCION DE DESARROLLO ORGANIZACIONAL  </v>
          </cell>
          <cell r="AF33"/>
          <cell r="AG33"/>
          <cell r="AH33"/>
          <cell r="AI33"/>
          <cell r="AJ33">
            <v>28.000000000000004</v>
          </cell>
          <cell r="AK33"/>
          <cell r="AL33" t="str">
            <v xml:space="preserve">4818 </v>
          </cell>
        </row>
        <row r="34">
          <cell r="A34">
            <v>84</v>
          </cell>
          <cell r="B34" t="str">
            <v>033-2018</v>
          </cell>
          <cell r="C34" t="str">
            <v>KAROL YOLIMA MERCHAN PARRA</v>
          </cell>
          <cell r="D34">
            <v>1</v>
          </cell>
          <cell r="E34" t="str">
            <v>C.C.</v>
          </cell>
          <cell r="F34">
            <v>1020717232</v>
          </cell>
          <cell r="G34" t="str">
            <v>MUJER</v>
          </cell>
          <cell r="H34">
            <v>43109</v>
          </cell>
          <cell r="I34" t="str">
            <v>Prestar servicios profesionales en el Grupo de Gestión Documental de Función Pública, para apoyar la actualización e implementación de instrumentos archivisticos de la entidad, asi como para verificar los requerimientos funcionales del sistema de gestión de documentos electronicos de archivo.</v>
          </cell>
          <cell r="J34" t="str">
            <v>CONTRATACIÓN DIRECTA</v>
          </cell>
          <cell r="K34" t="str">
            <v>PRESTACION DE SERVICIOS PROFESIONALES</v>
          </cell>
          <cell r="L34" t="str">
            <v xml:space="preserve">(6) $ 5.000.000                        </v>
          </cell>
          <cell r="M34">
            <v>30000000</v>
          </cell>
          <cell r="N34"/>
          <cell r="O34">
            <v>30000000</v>
          </cell>
          <cell r="P34" t="str">
            <v>Seis (6) mensualidades vencidas, cada una por valor de CINCO MILLONES PESOS ($5’000.000) M/CTE.</v>
          </cell>
          <cell r="Q34" t="str">
            <v>4418  2018 04 Enero 2018</v>
          </cell>
          <cell r="R34" t="str">
            <v>PRESUPUESTO DE FUNCIONAMIENTO</v>
          </cell>
          <cell r="S34" t="str">
            <v>CSF</v>
          </cell>
          <cell r="T34" t="str">
            <v>3118-2018 09 Enero 2018</v>
          </cell>
          <cell r="U34" t="str">
            <v>N/A</v>
          </cell>
          <cell r="V34" t="str">
            <v>N/A</v>
          </cell>
          <cell r="W34" t="str">
            <v>N/A</v>
          </cell>
          <cell r="X34" t="str">
            <v>Seis (06) meses, contado a partir del perfeccionamiento del mismo y registro presupuestal.</v>
          </cell>
          <cell r="Y34">
            <v>43109</v>
          </cell>
          <cell r="Z34">
            <v>43289</v>
          </cell>
          <cell r="AA34">
            <v>180</v>
          </cell>
          <cell r="AB34" t="str">
            <v xml:space="preserve"> </v>
          </cell>
          <cell r="AC34">
            <v>43289</v>
          </cell>
          <cell r="AD34" t="str">
            <v>JUDY MAGALI RODRIGUEZ SANTANA</v>
          </cell>
          <cell r="AE34" t="str">
            <v>GRUPO DE GESTION DOCUMENTAL</v>
          </cell>
          <cell r="AF34"/>
          <cell r="AG34"/>
          <cell r="AH34"/>
          <cell r="AI34"/>
          <cell r="AJ34">
            <v>26.666666666666668</v>
          </cell>
          <cell r="AK34"/>
          <cell r="AL34" t="str">
            <v xml:space="preserve">4418 </v>
          </cell>
        </row>
        <row r="35">
          <cell r="A35">
            <v>80</v>
          </cell>
          <cell r="B35" t="str">
            <v>034-2018</v>
          </cell>
          <cell r="C35" t="str">
            <v>CHRISTIAN ALEXANDER FLOREZ GUERRERO</v>
          </cell>
          <cell r="D35">
            <v>1</v>
          </cell>
          <cell r="E35" t="str">
            <v>C.C.</v>
          </cell>
          <cell r="F35">
            <v>13542736</v>
          </cell>
          <cell r="G35" t="str">
            <v>HOMBRE</v>
          </cell>
          <cell r="H35">
            <v>43109</v>
          </cell>
          <cell r="I35" t="str">
            <v>Prestar servicios profesionales en la Dirección de Empleo Publico de Función Pública, para apoyar la implementación y seguimiento de la tercera convocatoria del Programa Estado Joven, asi como del programa servimos y de los compromisos derivados de los convenios en materia de empleo público.</v>
          </cell>
          <cell r="J35" t="str">
            <v>CONTRATACIÓN DIRECTA</v>
          </cell>
          <cell r="K35" t="str">
            <v>PRESTACION DE SERVICIOS PROFESIONALES</v>
          </cell>
          <cell r="L35" t="str">
            <v xml:space="preserve">(5) $ 6.300.000                        </v>
          </cell>
          <cell r="M35">
            <v>31500000</v>
          </cell>
          <cell r="N35"/>
          <cell r="O35">
            <v>31500000</v>
          </cell>
          <cell r="P35" t="str">
            <v>Cinco (5) mensualidades vencidas, cada una por valor de SEIS MILLONES TRESCIENTOS MIL PESOS ($6’300.000) M/CTE.</v>
          </cell>
          <cell r="Q35" t="str">
            <v>4118  2018 04 Enero 2018</v>
          </cell>
          <cell r="R35" t="str">
            <v>IMPLEMENTACIÓN Y FORTALECIMIENTO DE LAS POLITICAS LIDERADAS POR FUNCION PUBLICA A NIVEL NACIONAL</v>
          </cell>
          <cell r="S35" t="str">
            <v>CSF</v>
          </cell>
          <cell r="T35" t="str">
            <v>5518-2018 11 Enero 2018</v>
          </cell>
          <cell r="U35" t="str">
            <v>N/A</v>
          </cell>
          <cell r="V35" t="str">
            <v>N/A</v>
          </cell>
          <cell r="W35" t="str">
            <v>N/A</v>
          </cell>
          <cell r="X35" t="str">
            <v>Cinco (05) meses, contado a partir del perfeccionamiento del mismo y registro presupuestal.</v>
          </cell>
          <cell r="Y35">
            <v>43111</v>
          </cell>
          <cell r="Z35">
            <v>43261</v>
          </cell>
          <cell r="AA35">
            <v>150</v>
          </cell>
          <cell r="AB35" t="str">
            <v xml:space="preserve"> </v>
          </cell>
          <cell r="AC35">
            <v>43261</v>
          </cell>
          <cell r="AD35" t="str">
            <v>FRANCISCO ALFONSO CAMARGO SALAS</v>
          </cell>
          <cell r="AE35" t="str">
            <v>DIRECCION DE EMPLEO PUBLICO</v>
          </cell>
          <cell r="AF35"/>
          <cell r="AG35"/>
          <cell r="AH35"/>
          <cell r="AI35"/>
          <cell r="AJ35">
            <v>30.666666666666664</v>
          </cell>
          <cell r="AK35"/>
          <cell r="AL35" t="str">
            <v xml:space="preserve">4118 </v>
          </cell>
        </row>
        <row r="36">
          <cell r="A36">
            <v>93</v>
          </cell>
          <cell r="B36" t="str">
            <v>035-2018</v>
          </cell>
          <cell r="C36" t="str">
            <v>LINA MARIA VASQUEZ CASTRO</v>
          </cell>
          <cell r="D36">
            <v>1</v>
          </cell>
          <cell r="E36" t="str">
            <v>C.C.</v>
          </cell>
          <cell r="F36">
            <v>52807271</v>
          </cell>
          <cell r="G36" t="str">
            <v>MUJER</v>
          </cell>
          <cell r="H36">
            <v>43109</v>
          </cell>
          <cell r="I36" t="str">
            <v>Prestar servicios profesionales  en la Direccion de Gestión y Desempeño Institucional de Función Pública para apoyar la implementación y medición del Modelo Integrado de Planeación y Gestión MIPG, asi como contribuir a la evaluación de su incidencia en el desempeño institucional de las entidades objeto de su aplicación.</v>
          </cell>
          <cell r="J36" t="str">
            <v>CONTRATACIÓN DIRECTA</v>
          </cell>
          <cell r="K36" t="str">
            <v>PRESTACION DE SERVICIOS PROFESIONALES</v>
          </cell>
          <cell r="L36" t="str">
            <v xml:space="preserve">(5) $ 5.000.000                        </v>
          </cell>
          <cell r="M36">
            <v>25000000</v>
          </cell>
          <cell r="N36"/>
          <cell r="O36">
            <v>25000000</v>
          </cell>
          <cell r="P36" t="str">
            <v>Cinco (5) mensualidades vencidas de CINCO MILLONES DE PESOS ($5’000.000) M/CTE.</v>
          </cell>
          <cell r="Q36" t="str">
            <v>5318  2018 04 Enero 2018</v>
          </cell>
          <cell r="R36" t="str">
            <v>IMPLEMENTACIÓN Y FORTALECIMIENTO DE LAS POLITICAS LIDERADAS POR FUNCION PUBLICA A NIVEL NACIONAL</v>
          </cell>
          <cell r="S36" t="str">
            <v>CSF</v>
          </cell>
          <cell r="T36" t="str">
            <v>5318-2018 11 Enero 2018</v>
          </cell>
          <cell r="U36" t="str">
            <v>N/A</v>
          </cell>
          <cell r="V36" t="str">
            <v>N/A</v>
          </cell>
          <cell r="W36" t="str">
            <v>N/A</v>
          </cell>
          <cell r="X36" t="str">
            <v>Cinco (05) meses, contado a partir del perfeccionamiento del mismo y registro presupuestal.</v>
          </cell>
          <cell r="Y36">
            <v>43111</v>
          </cell>
          <cell r="Z36">
            <v>43261</v>
          </cell>
          <cell r="AA36">
            <v>150</v>
          </cell>
          <cell r="AB36" t="str">
            <v xml:space="preserve"> </v>
          </cell>
          <cell r="AC36">
            <v>43261</v>
          </cell>
          <cell r="AD36" t="str">
            <v>ARLINGTON FONSECA</v>
          </cell>
          <cell r="AE36" t="str">
            <v>DIRECCION DE GESTION Y DESEMPEÑO INSTITUCIONAL</v>
          </cell>
          <cell r="AF36"/>
          <cell r="AG36"/>
          <cell r="AH36"/>
          <cell r="AI36"/>
          <cell r="AJ36">
            <v>30.666666666666664</v>
          </cell>
          <cell r="AK36"/>
          <cell r="AL36" t="str">
            <v xml:space="preserve">5318 </v>
          </cell>
        </row>
        <row r="37">
          <cell r="A37">
            <v>98</v>
          </cell>
          <cell r="B37" t="str">
            <v>036-2018</v>
          </cell>
          <cell r="C37" t="str">
            <v>JUAN DAVID MENDOZA VARGAS</v>
          </cell>
          <cell r="D37">
            <v>1</v>
          </cell>
          <cell r="E37" t="str">
            <v>C.C.</v>
          </cell>
          <cell r="F37">
            <v>80871756</v>
          </cell>
          <cell r="G37" t="str">
            <v>HOMBRE</v>
          </cell>
          <cell r="H37">
            <v>43109</v>
          </cell>
          <cell r="I37" t="str">
            <v>Prestar servicios profesionales en la Dirección de Participación, Transparencia y Servicio al Ciudadano de Función Pública, para apoyar a las entidades de la Administración Pública, en la revisión de procesos asociados a trámites, identificación de acciones de simplificación y su implementación.</v>
          </cell>
          <cell r="J37" t="str">
            <v>CONTRATACIÓN DIRECTA</v>
          </cell>
          <cell r="K37" t="str">
            <v>PRESTACION DE SERVICIOS PROFESIONALES</v>
          </cell>
          <cell r="L37" t="str">
            <v xml:space="preserve">(5) $ 7.350.000                        </v>
          </cell>
          <cell r="M37">
            <v>36750000</v>
          </cell>
          <cell r="N37"/>
          <cell r="O37">
            <v>36750000</v>
          </cell>
          <cell r="P37" t="str">
            <v>Cinco (5) mensualidades vencidas, cada una por valor de SIETE MILLONES TRESCIENTOS CINCUENTA MIL PESOS ($7’350.000) M/CTE.</v>
          </cell>
          <cell r="Q37" t="str">
            <v>5818  2018 04 Enero 2018</v>
          </cell>
          <cell r="R37" t="str">
            <v>IMPLEMENTACIÓN Y FORTALECIMIENTO DE LAS POLITICAS LIDERADAS POR FUNCION PUBLICA A NIVEL NACIONAL</v>
          </cell>
          <cell r="S37" t="str">
            <v>CSF</v>
          </cell>
          <cell r="T37" t="str">
            <v>3918-2018 09 Enero 2018</v>
          </cell>
          <cell r="U37" t="str">
            <v>N/A</v>
          </cell>
          <cell r="V37" t="str">
            <v>N/A</v>
          </cell>
          <cell r="W37" t="str">
            <v>N/A</v>
          </cell>
          <cell r="X37" t="str">
            <v>Cinco (05) meses, contado a partir del perfeccionamiento del mismo y registro presupuestal.</v>
          </cell>
          <cell r="Y37">
            <v>43109</v>
          </cell>
          <cell r="Z37">
            <v>43259</v>
          </cell>
          <cell r="AA37">
            <v>150</v>
          </cell>
          <cell r="AB37" t="str">
            <v xml:space="preserve"> </v>
          </cell>
          <cell r="AC37">
            <v>43259</v>
          </cell>
          <cell r="AD37" t="str">
            <v>FERNANDO AUGUSTO MEDINA GUTIERREZ</v>
          </cell>
          <cell r="AE37" t="str">
            <v>SUBDIRECCIÓN</v>
          </cell>
          <cell r="AF37"/>
          <cell r="AG37"/>
          <cell r="AH37"/>
          <cell r="AI37"/>
          <cell r="AJ37">
            <v>32</v>
          </cell>
          <cell r="AK37"/>
          <cell r="AL37" t="str">
            <v xml:space="preserve">5818 </v>
          </cell>
        </row>
        <row r="38">
          <cell r="A38">
            <v>94</v>
          </cell>
          <cell r="B38" t="str">
            <v>037-2018</v>
          </cell>
          <cell r="C38" t="str">
            <v>MICHEL FELIPE CORDOBA PEROZO</v>
          </cell>
          <cell r="D38">
            <v>1</v>
          </cell>
          <cell r="E38" t="str">
            <v>C.C.</v>
          </cell>
          <cell r="F38">
            <v>1023872191</v>
          </cell>
          <cell r="G38" t="str">
            <v>HOMBRE</v>
          </cell>
          <cell r="H38">
            <v>43109</v>
          </cell>
          <cell r="I38" t="str">
            <v>Prestar servicios profesionales  en la Direccion de Gestión y Desempeño Institucional de Función Pública para apoyar la implementación y medición del Modelo Integrado de Planeación y Gestión MIPG, asi como contribuir a la evaluación de su incidencia en el desempeño institucional de las entidades objeto de su aplicación.</v>
          </cell>
          <cell r="J38" t="str">
            <v>CONTRATACIÓN DIRECTA</v>
          </cell>
          <cell r="K38" t="str">
            <v>PRESTACION DE SERVICIOS PROFESIONALES</v>
          </cell>
          <cell r="L38" t="str">
            <v xml:space="preserve">(5) $ 5.000.000                        </v>
          </cell>
          <cell r="M38">
            <v>25000000</v>
          </cell>
          <cell r="N38"/>
          <cell r="O38">
            <v>25000000</v>
          </cell>
          <cell r="P38" t="str">
            <v>Cinco (5) mensualidades vencidas de CINCO MILLONES DE PESOS ($5’000.000) M/CTE.</v>
          </cell>
          <cell r="Q38" t="str">
            <v>5418  2018 04 Enero 2018</v>
          </cell>
          <cell r="R38" t="str">
            <v>IMPLEMENTACIÓN Y FORTALECIMIENTO DE LAS POLITICAS LIDERADAS POR FUNCION PUBLICA A NIVEL NACIONAL</v>
          </cell>
          <cell r="S38" t="str">
            <v>CSF</v>
          </cell>
          <cell r="T38" t="str">
            <v>5718-2018 11 Enero 2018</v>
          </cell>
          <cell r="U38" t="str">
            <v>N/A</v>
          </cell>
          <cell r="V38" t="str">
            <v>N/A</v>
          </cell>
          <cell r="W38" t="str">
            <v>N/A</v>
          </cell>
          <cell r="X38" t="str">
            <v>Cinco (05) meses, contado a partir del perfeccionamiento del mismo y registro presupuestal.</v>
          </cell>
          <cell r="Y38">
            <v>43111</v>
          </cell>
          <cell r="Z38">
            <v>43261</v>
          </cell>
          <cell r="AA38">
            <v>150</v>
          </cell>
          <cell r="AB38" t="str">
            <v xml:space="preserve"> </v>
          </cell>
          <cell r="AC38">
            <v>43261</v>
          </cell>
          <cell r="AD38" t="str">
            <v>DIANA MARIA CALDAS GUALTEROS</v>
          </cell>
          <cell r="AE38" t="str">
            <v>DIRECCION DE GESTION Y DESEMPEÑO INSTITUCIONAL</v>
          </cell>
          <cell r="AF38"/>
          <cell r="AG38"/>
          <cell r="AH38"/>
          <cell r="AI38"/>
          <cell r="AJ38">
            <v>30.666666666666664</v>
          </cell>
          <cell r="AK38"/>
          <cell r="AL38" t="str">
            <v xml:space="preserve">5418 </v>
          </cell>
        </row>
        <row r="39">
          <cell r="A39">
            <v>58</v>
          </cell>
          <cell r="B39" t="str">
            <v>038-2018</v>
          </cell>
          <cell r="C39" t="str">
            <v>LUZ ANDREA PIÑEROS LÓPEZ</v>
          </cell>
          <cell r="D39">
            <v>1</v>
          </cell>
          <cell r="E39" t="str">
            <v>C.C.</v>
          </cell>
          <cell r="F39">
            <v>53165879</v>
          </cell>
          <cell r="G39" t="str">
            <v>MUJER</v>
          </cell>
          <cell r="H39">
            <v>43109</v>
          </cell>
          <cell r="I39" t="str">
            <v>Prestar servicios profesionales en la Oficina Asesora de Planeación de Función Pública, para apoyar la consolidación, documentación, operación y mejoramiento del Sistema de Información Estratégica (SIE) y su articulación con el Modelo de Gestión de la Entidad.</v>
          </cell>
          <cell r="J39" t="str">
            <v>CONTRATACIÓN DIRECTA</v>
          </cell>
          <cell r="K39" t="str">
            <v>PRESTACION DE SERVICIOS PROFESIONALES</v>
          </cell>
          <cell r="L39" t="str">
            <v xml:space="preserve">(5) $ 7.753.000                        </v>
          </cell>
          <cell r="M39">
            <v>38765000</v>
          </cell>
          <cell r="N39"/>
          <cell r="O39">
            <v>38765000</v>
          </cell>
          <cell r="P39" t="str">
            <v>Cinco (5) mensualidades vencidas, cada una por valor de SIETE MILLONES SETECIENTOS CINCUENTA Y TRES MIL DE PESOS ($7.753.000) M/CTE.</v>
          </cell>
          <cell r="Q39" t="str">
            <v>2518  2018 04 Enero 2018</v>
          </cell>
          <cell r="R39" t="str">
            <v>IMPLEMENTACIÓN Y FORTALECIMIENTO DE LAS POLITICAS LIDERADAS POR FUNCION PUBLICA A NIVEL NACIONAL</v>
          </cell>
          <cell r="S39" t="str">
            <v>CSF</v>
          </cell>
          <cell r="T39" t="str">
            <v>9218-2018 17 Enero 2018</v>
          </cell>
          <cell r="U39" t="str">
            <v>N/A</v>
          </cell>
          <cell r="V39" t="str">
            <v>N/A</v>
          </cell>
          <cell r="W39" t="str">
            <v>N/A</v>
          </cell>
          <cell r="X39" t="str">
            <v>Cinco (05) meses, contado a partir del perfeccionamiento del mismo y registro presupuestal.</v>
          </cell>
          <cell r="Y39">
            <v>43117</v>
          </cell>
          <cell r="Z39">
            <v>43267</v>
          </cell>
          <cell r="AA39">
            <v>150</v>
          </cell>
          <cell r="AB39" t="str">
            <v xml:space="preserve"> </v>
          </cell>
          <cell r="AC39">
            <v>43267</v>
          </cell>
          <cell r="AD39" t="str">
            <v xml:space="preserve">GUILLERMO MARTINEZ DAZA </v>
          </cell>
          <cell r="AE39" t="str">
            <v>OFICINA ASESORA DE PLANEACION</v>
          </cell>
          <cell r="AF39"/>
          <cell r="AG39"/>
          <cell r="AH39"/>
          <cell r="AI39"/>
          <cell r="AJ39">
            <v>26.666666666666668</v>
          </cell>
          <cell r="AK39"/>
          <cell r="AL39" t="str">
            <v xml:space="preserve">2518 </v>
          </cell>
        </row>
        <row r="40">
          <cell r="A40">
            <v>113</v>
          </cell>
          <cell r="B40" t="str">
            <v>039-2018</v>
          </cell>
          <cell r="C40" t="str">
            <v>PEDRO ANTONIO GARCIA MEDINA</v>
          </cell>
          <cell r="D40">
            <v>1</v>
          </cell>
          <cell r="E40" t="str">
            <v>C.C.</v>
          </cell>
          <cell r="F40">
            <v>74371419</v>
          </cell>
          <cell r="G40" t="str">
            <v>HOMBRE</v>
          </cell>
          <cell r="H40">
            <v>43109</v>
          </cell>
          <cell r="I40" t="str">
            <v xml:space="preserve">Prestar servicios profesionales en la Oficina de Tecnologías de la Información y las Comunicaciones de Función Pública, para apoyar las necesidades de desarrollo, integración y mejoramiento de los sistemas de información y gestión misionales y de apoyo de la Entidad, así como de los portales web que soportan dichos sistemas, incorporando los lineamientos de Gobierno Digital. </v>
          </cell>
          <cell r="J40" t="str">
            <v>CONTRATACIÓN DIRECTA</v>
          </cell>
          <cell r="K40" t="str">
            <v>PRESTACION DE SERVICIOS PROFESIONALES</v>
          </cell>
          <cell r="L40" t="str">
            <v xml:space="preserve">(5) $ 6.510.000                        </v>
          </cell>
          <cell r="M40">
            <v>32550000</v>
          </cell>
          <cell r="N40"/>
          <cell r="O40">
            <v>32550000</v>
          </cell>
          <cell r="P40" t="str">
            <v>Cinco (5) mensualidades vencidas de SEIS MILLONES QUINIENTOS DIEZ MIL PESOS ($6’510.000) M/CTE.</v>
          </cell>
          <cell r="Q40" t="str">
            <v>7118  2018 04 Enero 2018</v>
          </cell>
          <cell r="R40" t="str">
            <v>MEJORAMIENTO DE LA GESTION DE LAS POLITICAS PUBLICAS A TRAVES DE LAS TECNOLOGIAS DE INFORMACION TICS</v>
          </cell>
          <cell r="S40" t="str">
            <v>CSF</v>
          </cell>
          <cell r="T40" t="str">
            <v>4918-2018 10 Enero 2018</v>
          </cell>
          <cell r="U40" t="str">
            <v>N/A</v>
          </cell>
          <cell r="V40" t="str">
            <v>N/A</v>
          </cell>
          <cell r="W40" t="str">
            <v>N/A</v>
          </cell>
          <cell r="X40" t="str">
            <v>Cinco (05) meses, contado a partir del perfeccionamiento del mismo y registro presupuestal.</v>
          </cell>
          <cell r="Y40">
            <v>43110</v>
          </cell>
          <cell r="Z40">
            <v>43260</v>
          </cell>
          <cell r="AA40">
            <v>150</v>
          </cell>
          <cell r="AB40" t="str">
            <v xml:space="preserve"> </v>
          </cell>
          <cell r="AC40">
            <v>43260</v>
          </cell>
          <cell r="AD40" t="str">
            <v>FRANCISCO JOSE URBINA SUAREZ</v>
          </cell>
          <cell r="AE40" t="str">
            <v xml:space="preserve">OFICINA DE TECNOLOGIAS DE LA INFORMACION Y LAS COMUNICACIONES </v>
          </cell>
          <cell r="AF40"/>
          <cell r="AG40"/>
          <cell r="AH40"/>
          <cell r="AI40"/>
          <cell r="AJ40">
            <v>31.333333333333336</v>
          </cell>
          <cell r="AK40"/>
          <cell r="AL40" t="str">
            <v xml:space="preserve">7118 </v>
          </cell>
        </row>
        <row r="41">
          <cell r="A41">
            <v>105</v>
          </cell>
          <cell r="B41" t="str">
            <v>040-2018</v>
          </cell>
          <cell r="C41" t="str">
            <v>EDGAR ALIRIO VELOSA ARIAS</v>
          </cell>
          <cell r="D41">
            <v>1</v>
          </cell>
          <cell r="E41" t="str">
            <v>C.C.</v>
          </cell>
          <cell r="F41">
            <v>7311691</v>
          </cell>
          <cell r="G41" t="str">
            <v>HOMBRE</v>
          </cell>
          <cell r="H41">
            <v>43109</v>
          </cell>
          <cell r="I41" t="str">
            <v>Prestar servicios profesionales en la oficina asesora de comunicaciones de Función Pública, para apoyar la generación de contenidos informativos  que permitan divulgar la gestión de la entidad, en el marco de la estrategia de comunicaciones</v>
          </cell>
          <cell r="J41" t="str">
            <v>CONTRATACIÓN DIRECTA</v>
          </cell>
          <cell r="K41" t="str">
            <v>PRESTACION DE SERVICIOS PROFESIONALES</v>
          </cell>
          <cell r="L41" t="str">
            <v xml:space="preserve">(5) $ 4.200.000                        </v>
          </cell>
          <cell r="M41">
            <v>21000000</v>
          </cell>
          <cell r="N41"/>
          <cell r="O41">
            <v>21000000</v>
          </cell>
          <cell r="P41" t="str">
            <v>Cinco (5) mensualidades vencidas, cada una por valor de CUATRO MILLONES DOSCIENTOS MIL PESOS ($4’200.000) M/CTE.</v>
          </cell>
          <cell r="Q41" t="str">
            <v>6518  2018 04 Enero 2018</v>
          </cell>
          <cell r="R41" t="str">
            <v>IMPLEMENTACIÓN Y FORTALECIMIENTO DE LAS POLITICAS LIDERADAS POR FUNCION PUBLICA A NIVEL NACIONAL</v>
          </cell>
          <cell r="S41" t="str">
            <v>CSF</v>
          </cell>
          <cell r="T41" t="str">
            <v>6018-2018 12 Enero 2018</v>
          </cell>
          <cell r="U41" t="str">
            <v>N/A</v>
          </cell>
          <cell r="V41" t="str">
            <v>N/A</v>
          </cell>
          <cell r="W41" t="str">
            <v>N/A</v>
          </cell>
          <cell r="X41" t="str">
            <v>Cinco (05) meses, contado a partir del perfeccionamiento del mismo y registro presupuestal.</v>
          </cell>
          <cell r="Y41">
            <v>43112</v>
          </cell>
          <cell r="Z41">
            <v>43262</v>
          </cell>
          <cell r="AA41">
            <v>150</v>
          </cell>
          <cell r="AB41" t="str">
            <v xml:space="preserve"> </v>
          </cell>
          <cell r="AC41">
            <v>43262</v>
          </cell>
          <cell r="AD41" t="str">
            <v>DIANA MARIA BOHORQUEZ LOSADA</v>
          </cell>
          <cell r="AE41" t="str">
            <v>OFICINA ASESORA DE COMUNICACIONES</v>
          </cell>
          <cell r="AF41"/>
          <cell r="AG41"/>
          <cell r="AH41"/>
          <cell r="AI41"/>
          <cell r="AJ41">
            <v>30</v>
          </cell>
          <cell r="AK41"/>
          <cell r="AL41" t="str">
            <v xml:space="preserve">6518 </v>
          </cell>
        </row>
        <row r="42">
          <cell r="A42">
            <v>112</v>
          </cell>
          <cell r="B42" t="str">
            <v>041-2018</v>
          </cell>
          <cell r="C42" t="str">
            <v>JACK LEONARDO MARTINEZ VANEGAS</v>
          </cell>
          <cell r="D42">
            <v>1</v>
          </cell>
          <cell r="E42" t="str">
            <v>C.C.</v>
          </cell>
          <cell r="F42">
            <v>80547914</v>
          </cell>
          <cell r="G42" t="str">
            <v>HOMBRE</v>
          </cell>
          <cell r="H42">
            <v>43109</v>
          </cell>
          <cell r="I42" t="str">
            <v>Prestar servicios profesionales en la Oficina de Tecnologias de la Información y las Comunicaciones de Función Pública, para apoyar las necesidades de desarrollo, integración y mejoramiento de los sistemas de información y gestión misionales y de apoyo de la Entidad, asi como de los portales web que soportan dichos sistemas, incorporando los lineamientos de gobierno digital.</v>
          </cell>
          <cell r="J42" t="str">
            <v>CONTRATACIÓN DIRECTA</v>
          </cell>
          <cell r="K42" t="str">
            <v>PRESTACION DE SERVICIOS PROFESIONALES</v>
          </cell>
          <cell r="L42" t="str">
            <v xml:space="preserve">(5) $ 6.510.000                        </v>
          </cell>
          <cell r="M42">
            <v>32550000</v>
          </cell>
          <cell r="N42"/>
          <cell r="O42">
            <v>32550000</v>
          </cell>
          <cell r="P42" t="str">
            <v>Cinco (5) mensualidades vencidas, cada una por valor de SEIS MILLONES QUINIENTOS DIEZ MIL PESOS ($6’510.000) M/CTE.</v>
          </cell>
          <cell r="Q42" t="str">
            <v>7018  2018 04 Enero 2018</v>
          </cell>
          <cell r="R42" t="str">
            <v>MEJORAMIENTO DE LA GESTION DE LAS POLITICAS PUBLICAS A TRAVES DE LAS TECNOLOGIAS DE INFORMACION TICS</v>
          </cell>
          <cell r="S42" t="str">
            <v>CSF</v>
          </cell>
          <cell r="T42" t="str">
            <v>5018-2018 10 Enero 2018</v>
          </cell>
          <cell r="U42" t="str">
            <v>N/A</v>
          </cell>
          <cell r="V42" t="str">
            <v>N/A</v>
          </cell>
          <cell r="W42" t="str">
            <v>N/A</v>
          </cell>
          <cell r="X42" t="str">
            <v>Cinco (05) meses, contado a partir del perfeccionamiento del mismo y registro presupuestal.</v>
          </cell>
          <cell r="Y42">
            <v>43110</v>
          </cell>
          <cell r="Z42">
            <v>43260</v>
          </cell>
          <cell r="AA42">
            <v>150</v>
          </cell>
          <cell r="AB42" t="str">
            <v xml:space="preserve"> </v>
          </cell>
          <cell r="AC42">
            <v>43260</v>
          </cell>
          <cell r="AD42" t="str">
            <v>EDUAR ALFONSO GAVIRIA VERA</v>
          </cell>
          <cell r="AE42" t="str">
            <v xml:space="preserve">OFICINA DE TECNOLOGIAS DE LA INFORMACION Y LAS COMUNICACIONES </v>
          </cell>
          <cell r="AF42"/>
          <cell r="AG42"/>
          <cell r="AH42"/>
          <cell r="AI42"/>
          <cell r="AJ42">
            <v>31.333333333333336</v>
          </cell>
          <cell r="AK42"/>
          <cell r="AL42" t="str">
            <v xml:space="preserve">7018 </v>
          </cell>
        </row>
        <row r="43">
          <cell r="A43">
            <v>73</v>
          </cell>
          <cell r="B43" t="str">
            <v>042-2018</v>
          </cell>
          <cell r="C43" t="str">
            <v>FERLEY RUIZ MORENO</v>
          </cell>
          <cell r="D43">
            <v>1</v>
          </cell>
          <cell r="E43" t="str">
            <v>C.C.</v>
          </cell>
          <cell r="F43">
            <v>1095906991</v>
          </cell>
          <cell r="G43" t="str">
            <v>HOMBRE</v>
          </cell>
          <cell r="H43">
            <v>43109</v>
          </cell>
          <cell r="I43" t="str">
            <v>Prestar servicios profesionales en la Dirección General de la Función Pública, para apoyar el desarrollo de las actividades encaminadas al fortalecimiento de capacidades de los servidores y entidades públicas, relacionadas con la Estrategia de Pedagogía y Contrucción de Paz, en el marco de la implementación del Acuerdo de Paz, de acuerdo con los compromisos adquiridos por la Entidad.</v>
          </cell>
          <cell r="J43" t="str">
            <v>CONTRATACIÓN DIRECTA</v>
          </cell>
          <cell r="K43" t="str">
            <v>PRESTACION DE SERVICIOS PROFESIONALES</v>
          </cell>
          <cell r="L43" t="str">
            <v xml:space="preserve">(5) $ 3.895.000                        </v>
          </cell>
          <cell r="M43">
            <v>19475000</v>
          </cell>
          <cell r="N43"/>
          <cell r="O43">
            <v>19475000</v>
          </cell>
          <cell r="P43" t="str">
            <v>Cinco (5) mensualidades vencidas, cada una por valor de TRES MILLONES OCHOCIENTOS NOVENTA Y CINCO MIL PESOS ($3’895.000) M/CTE.</v>
          </cell>
          <cell r="Q43" t="str">
            <v>3718  2018 04 Enero 2018</v>
          </cell>
          <cell r="R43" t="str">
            <v>DESARROLLO Y FORTALECIMIENTO DE CAPACIDADES DE LAS ENTIDADES TERRITORIALES DE LA CIRCUNSCRIPCIÓN NACIONAL</v>
          </cell>
          <cell r="S43" t="str">
            <v>CSF</v>
          </cell>
          <cell r="T43" t="str">
            <v>7018-2018 15 Enero 2018</v>
          </cell>
          <cell r="U43" t="str">
            <v>N/A</v>
          </cell>
          <cell r="V43" t="str">
            <v>N/A</v>
          </cell>
          <cell r="W43" t="str">
            <v>N/A</v>
          </cell>
          <cell r="X43" t="str">
            <v>Cinco (05) meses, contado a partir del perfeccionamiento del mismo y registro presupuestal.</v>
          </cell>
          <cell r="Y43">
            <v>43115</v>
          </cell>
          <cell r="Z43">
            <v>43265</v>
          </cell>
          <cell r="AA43">
            <v>150</v>
          </cell>
          <cell r="AB43" t="str">
            <v xml:space="preserve"> </v>
          </cell>
          <cell r="AC43">
            <v>43265</v>
          </cell>
          <cell r="AD43" t="str">
            <v xml:space="preserve">EDINSON GABRIEL MALAGÓN MAYORGA </v>
          </cell>
          <cell r="AE43" t="str">
            <v>DIRECCION GENERAL</v>
          </cell>
          <cell r="AF43" t="str">
            <v>LAURA CORDOBA REYES</v>
          </cell>
          <cell r="AG43"/>
          <cell r="AH43"/>
          <cell r="AI43"/>
          <cell r="AJ43">
            <v>28.000000000000004</v>
          </cell>
          <cell r="AK43"/>
          <cell r="AL43" t="str">
            <v xml:space="preserve">3718 </v>
          </cell>
        </row>
        <row r="44">
          <cell r="A44">
            <v>104</v>
          </cell>
          <cell r="B44" t="str">
            <v>043-2018</v>
          </cell>
          <cell r="C44" t="str">
            <v>JORGE IVAN GIRALDO DIAZ</v>
          </cell>
          <cell r="D44">
            <v>1</v>
          </cell>
          <cell r="E44" t="str">
            <v>C.C.</v>
          </cell>
          <cell r="F44">
            <v>1053766580</v>
          </cell>
          <cell r="G44" t="str">
            <v>HOMBRE</v>
          </cell>
          <cell r="H44">
            <v>43109</v>
          </cell>
          <cell r="I44" t="str">
            <v>Prestar servicios profesionales en la Oficina Asesora de Comunicaciones| de Función Pública, para apoyar la difusión de contenidos e información de la Entidad en redes sociales institucionales, en el marco de la estrategia de comunicaciones.</v>
          </cell>
          <cell r="J44" t="str">
            <v>CONTRATACIÓN DIRECTA</v>
          </cell>
          <cell r="K44" t="str">
            <v>PRESTACION DE SERVICIOS PROFESIONALES</v>
          </cell>
          <cell r="L44" t="str">
            <v xml:space="preserve">(5) $ 3.800.000                        </v>
          </cell>
          <cell r="M44">
            <v>19000000</v>
          </cell>
          <cell r="N44"/>
          <cell r="O44">
            <v>19000000</v>
          </cell>
          <cell r="P44" t="str">
            <v>Cinco (5) mensualidades vencidas, cada una por valor de TRES MILLONES OCHOCIENTOS MIL PESOS ($3’800.000) M/CTE.</v>
          </cell>
          <cell r="Q44" t="str">
            <v>6418  2018 04 Enero 2018</v>
          </cell>
          <cell r="R44" t="str">
            <v>IMPLEMENTACIÓN Y FORTALECIMIENTO DE LAS POLITICAS LIDERADAS POR FUNCION PUBLICA A NIVEL NACIONAL</v>
          </cell>
          <cell r="S44" t="str">
            <v>CSF</v>
          </cell>
          <cell r="T44" t="str">
            <v>8618-2018 16 Enero 2018</v>
          </cell>
          <cell r="U44" t="str">
            <v>N/A</v>
          </cell>
          <cell r="V44" t="str">
            <v>N/A</v>
          </cell>
          <cell r="W44" t="str">
            <v>N/A</v>
          </cell>
          <cell r="X44" t="str">
            <v>Cinco (05) meses, contado a partir del perfeccionamiento del mismo y registro presupuestal.</v>
          </cell>
          <cell r="Y44">
            <v>43116</v>
          </cell>
          <cell r="Z44">
            <v>43266</v>
          </cell>
          <cell r="AA44">
            <v>150</v>
          </cell>
          <cell r="AB44" t="str">
            <v xml:space="preserve"> </v>
          </cell>
          <cell r="AC44">
            <v>43266</v>
          </cell>
          <cell r="AD44" t="str">
            <v>DIANA MARIA BOHORQUEZ LOSADA</v>
          </cell>
          <cell r="AE44" t="str">
            <v>OFICINA ASESORA DE COMUNICACIONES</v>
          </cell>
          <cell r="AF44"/>
          <cell r="AG44"/>
          <cell r="AH44"/>
          <cell r="AI44"/>
          <cell r="AJ44">
            <v>27.333333333333332</v>
          </cell>
          <cell r="AK44"/>
          <cell r="AL44" t="str">
            <v xml:space="preserve">6418 </v>
          </cell>
        </row>
        <row r="45">
          <cell r="A45">
            <v>76</v>
          </cell>
          <cell r="B45" t="str">
            <v>044-2018</v>
          </cell>
          <cell r="C45" t="str">
            <v>JULY AMANDA MUÑOZ CHOACHI</v>
          </cell>
          <cell r="D45">
            <v>1</v>
          </cell>
          <cell r="E45" t="str">
            <v>C.C.</v>
          </cell>
          <cell r="F45">
            <v>1012335558</v>
          </cell>
          <cell r="G45" t="str">
            <v>MUJER</v>
          </cell>
          <cell r="H45">
            <v>43109</v>
          </cell>
          <cell r="I45" t="str">
            <v>Prestar servicios de apoyo a la gestión en el Grupo de Gestión Contractual de Función Pública para el archivo de los documentos generados en desarrollo de los procesos de selección y contratación necesarios para la adquisición de bienes, servicios y obras requeridos por la Entidad.</v>
          </cell>
          <cell r="J45" t="str">
            <v>CONTRATACIÓN DIRECTA</v>
          </cell>
          <cell r="K45" t="str">
            <v>PRESTACION DE SERVICIOS DE APOYO A LA GESTION</v>
          </cell>
          <cell r="L45" t="str">
            <v xml:space="preserve">(5) $ 1.909.000                        </v>
          </cell>
          <cell r="M45">
            <v>9545000</v>
          </cell>
          <cell r="N45"/>
          <cell r="O45">
            <v>9545000</v>
          </cell>
          <cell r="P45" t="str">
            <v>Cinco (5) mensualidades vencidas, cada una por valor de UN MILLÓN NOVECIENTOS NUEVE MIL PESOS ($1’909.000) M/CTE</v>
          </cell>
          <cell r="Q45" t="str">
            <v>2118  2018 04 Enero 2018</v>
          </cell>
          <cell r="R45" t="str">
            <v>DESARROLLO Y FORTALECIMIENTO DE CAPACIDADES DE LAS ENTIDADES TERRITORIALES DE LA CIRCUNSCRIPCIÓN NACIONAL - IMPLEMENTACIÓN Y FORTALECIMIENTO DE LAS POLITICAS LIDERADAS POR FUNCION PUBLICA A NIVEL NACIONAL</v>
          </cell>
          <cell r="S45" t="str">
            <v>CSF</v>
          </cell>
          <cell r="T45" t="str">
            <v>5118-2018 10 Enero 2018</v>
          </cell>
          <cell r="U45" t="str">
            <v>N/A</v>
          </cell>
          <cell r="V45" t="str">
            <v>N/A</v>
          </cell>
          <cell r="W45" t="str">
            <v>N/A</v>
          </cell>
          <cell r="X45" t="str">
            <v>Cinco (05) meses, contado a partir del perfeccionamiento del mismo y registro presupuestal.</v>
          </cell>
          <cell r="Y45">
            <v>43110</v>
          </cell>
          <cell r="Z45">
            <v>43260</v>
          </cell>
          <cell r="AA45">
            <v>150</v>
          </cell>
          <cell r="AB45" t="str">
            <v xml:space="preserve"> </v>
          </cell>
          <cell r="AC45">
            <v>43260</v>
          </cell>
          <cell r="AD45" t="str">
            <v>DORIS ATAHUALPA POLANCO</v>
          </cell>
          <cell r="AE45" t="str">
            <v>GRUPO DE GESTION CONTRACTUAL</v>
          </cell>
          <cell r="AF45"/>
          <cell r="AG45"/>
          <cell r="AH45"/>
          <cell r="AI45"/>
          <cell r="AJ45">
            <v>31.333333333333336</v>
          </cell>
          <cell r="AK45"/>
          <cell r="AL45" t="str">
            <v xml:space="preserve">2118 </v>
          </cell>
        </row>
        <row r="46">
          <cell r="A46">
            <v>100</v>
          </cell>
          <cell r="B46" t="str">
            <v>045-2018</v>
          </cell>
          <cell r="C46" t="str">
            <v>GLORIA ESPERANZA JIMENEZ CABRERA</v>
          </cell>
          <cell r="D46">
            <v>1</v>
          </cell>
          <cell r="E46" t="str">
            <v>C.C.</v>
          </cell>
          <cell r="F46">
            <v>52159391</v>
          </cell>
          <cell r="G46" t="str">
            <v>MUJER</v>
          </cell>
          <cell r="H46">
            <v>43109</v>
          </cell>
          <cell r="I46" t="str">
            <v>Prestar servicios de apoyo a la gestión en la Dirección Jurídica de Función Pública para la digitación, cargue, descargue y depuración de información en el Gestor Normativo de la Entidad.</v>
          </cell>
          <cell r="J46" t="str">
            <v>CONTRATACIÓN DIRECTA</v>
          </cell>
          <cell r="K46" t="str">
            <v>PRESTACION DE SERVICIOS DE APOYO A LA GESTION</v>
          </cell>
          <cell r="L46" t="str">
            <v xml:space="preserve">(5) $ 1.685.000                        </v>
          </cell>
          <cell r="M46">
            <v>8425000</v>
          </cell>
          <cell r="N46"/>
          <cell r="O46">
            <v>8425000</v>
          </cell>
          <cell r="P46" t="str">
            <v>Cinco (5) mensualidades vencidas, cada una por valor de UN MILLÓN SEISCIENTOS OCHENTA Y CINCO MIL PESOS ($1’685.000) M/CTE</v>
          </cell>
          <cell r="Q46" t="str">
            <v>6018  2018 04 Enero 2018</v>
          </cell>
          <cell r="R46" t="str">
            <v>IMPLEMENTACIÓN Y FORTALECIMIENTO DE LAS POLITICAS LIDERADAS POR FUNCION PUBLICA A NIVEL NACIONAL</v>
          </cell>
          <cell r="S46" t="str">
            <v>CSF</v>
          </cell>
          <cell r="T46" t="str">
            <v>9318-2018 17 Enero 2018</v>
          </cell>
          <cell r="U46" t="str">
            <v>N/A</v>
          </cell>
          <cell r="V46" t="str">
            <v>N/A</v>
          </cell>
          <cell r="W46" t="str">
            <v>N/A</v>
          </cell>
          <cell r="X46" t="str">
            <v>Cinco (05) meses, contado a partir del perfeccionamiento del mismo y registro presupuestal.</v>
          </cell>
          <cell r="Y46">
            <v>43110</v>
          </cell>
          <cell r="Z46">
            <v>43260</v>
          </cell>
          <cell r="AA46">
            <v>150</v>
          </cell>
          <cell r="AB46" t="str">
            <v xml:space="preserve"> </v>
          </cell>
          <cell r="AC46">
            <v>43260</v>
          </cell>
          <cell r="AD46" t="str">
            <v xml:space="preserve">LUIS FERNANDO NUÑEZ RINCÓN </v>
          </cell>
          <cell r="AE46" t="str">
            <v>DIRECCION JURIDICA</v>
          </cell>
          <cell r="AF46"/>
          <cell r="AG46"/>
          <cell r="AH46"/>
          <cell r="AI46"/>
          <cell r="AJ46">
            <v>31.333333333333336</v>
          </cell>
          <cell r="AK46"/>
          <cell r="AL46" t="str">
            <v xml:space="preserve">6018 </v>
          </cell>
        </row>
        <row r="47">
          <cell r="A47">
            <v>1</v>
          </cell>
          <cell r="B47" t="str">
            <v>046-2018</v>
          </cell>
          <cell r="C47" t="str">
            <v>ORGANIZACIÓN TERPEL S.A.</v>
          </cell>
          <cell r="D47">
            <v>1</v>
          </cell>
          <cell r="E47" t="str">
            <v>C.C.</v>
          </cell>
          <cell r="F47">
            <v>830095213</v>
          </cell>
          <cell r="G47" t="str">
            <v>HOMBRE</v>
          </cell>
          <cell r="H47">
            <v>43109</v>
          </cell>
          <cell r="I47" t="str">
            <v>Abastecer gasolina corriente para el normal funcionamiento de los vehiculos del Departamento Administrativo de la Función Pública, de conformidad con los lineamientos establecidos en el Acuerdo Marco de Precios para suministro de combustible, con sistema de control EDS de Colombia Compra Eficiente,</v>
          </cell>
          <cell r="J47" t="str">
            <v>ACUERDO MARCO DE PRECIOS</v>
          </cell>
          <cell r="K47" t="str">
            <v xml:space="preserve">PRESTACION DE SERVICIOS </v>
          </cell>
          <cell r="L47" t="str">
            <v>RESPECTIVA FACTURA</v>
          </cell>
          <cell r="M47">
            <v>40000000</v>
          </cell>
          <cell r="N47"/>
          <cell r="O47">
            <v>40000000</v>
          </cell>
          <cell r="P47" t="str">
            <v>Función Pública pagará el valor del contrato de conformidad con las condiciones que se encuentren establecidos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mismo.</v>
          </cell>
          <cell r="Q47" t="str">
            <v>8018 2018 04 Enero 2018</v>
          </cell>
          <cell r="R47" t="str">
            <v>PRESUPUESTO DE FUNCIONAMIENTO</v>
          </cell>
          <cell r="S47" t="str">
            <v>CSF</v>
          </cell>
          <cell r="T47" t="str">
            <v>3618-2018 09 Enero 2018</v>
          </cell>
          <cell r="U47" t="str">
            <v>N/A</v>
          </cell>
          <cell r="V47" t="str">
            <v>N/A</v>
          </cell>
          <cell r="W47" t="str">
            <v>N/A</v>
          </cell>
          <cell r="X47" t="str">
            <v>Hasta el treinta (30) de noviembre de 2018, previo registro presupuestal y demas condiciones establecidas en el Acuerdo Marco de Precios suscrito por Colombia Compra Eficiente.</v>
          </cell>
          <cell r="Y47">
            <v>43109</v>
          </cell>
          <cell r="Z47">
            <v>43434</v>
          </cell>
          <cell r="AA47">
            <v>325</v>
          </cell>
          <cell r="AB47" t="str">
            <v xml:space="preserve"> </v>
          </cell>
          <cell r="AC47">
            <v>43434</v>
          </cell>
          <cell r="AD47" t="str">
            <v>IVAN ADOLFO MORANTES MOJICA</v>
          </cell>
          <cell r="AE47" t="str">
            <v xml:space="preserve">GRUPO DE GESTION ADMINISTRATIVA </v>
          </cell>
          <cell r="AF47"/>
          <cell r="AG47"/>
          <cell r="AH47"/>
          <cell r="AI47"/>
          <cell r="AJ47">
            <v>14.76923076923077</v>
          </cell>
          <cell r="AK47"/>
          <cell r="AL47" t="str">
            <v xml:space="preserve">8018 </v>
          </cell>
        </row>
        <row r="48">
          <cell r="A48">
            <v>102</v>
          </cell>
          <cell r="B48" t="str">
            <v>047-2018</v>
          </cell>
          <cell r="C48" t="str">
            <v>MARIA JOSE DEL RIO ARIAS</v>
          </cell>
          <cell r="D48">
            <v>1</v>
          </cell>
          <cell r="E48" t="str">
            <v>C.C.</v>
          </cell>
          <cell r="F48">
            <v>52853153</v>
          </cell>
          <cell r="G48" t="str">
            <v>MUJER</v>
          </cell>
          <cell r="H48">
            <v>43109</v>
          </cell>
          <cell r="I48" t="str">
            <v>Prestar servicios profesionales en la Dirección Jurídica de Función Pública, para apoyar todos los aspectos relativos a la Contratación Estatal, y a la expedición de conceptos.</v>
          </cell>
          <cell r="J48" t="str">
            <v>CONTRATACIÓN DIRECTA</v>
          </cell>
          <cell r="K48" t="str">
            <v>PRESTACION DE SERVICIOS PROFESIONALES</v>
          </cell>
          <cell r="L48" t="str">
            <v xml:space="preserve">(5) $ 7.350.000                        </v>
          </cell>
          <cell r="M48">
            <v>36750000</v>
          </cell>
          <cell r="N48"/>
          <cell r="O48">
            <v>36750000</v>
          </cell>
          <cell r="P48" t="str">
            <v>Cinco (5) mensualidades vencidas cada una por valor de SIETE MILLONES TRESCIENTOS CINCUENTA MIL PESOS ($7’350.000) M/CTE</v>
          </cell>
          <cell r="Q48" t="str">
            <v>6218  2018 04 Enero 2018</v>
          </cell>
          <cell r="R48" t="str">
            <v>IMPLEMENTACIÓN Y FORTALECIMIENTO DE LAS POLITICAS LIDERADAS POR FUNCION PUBLICA A NIVEL NACIONAL</v>
          </cell>
          <cell r="S48" t="str">
            <v>CSF</v>
          </cell>
          <cell r="T48" t="str">
            <v>10518-2018 18 Enero 2018</v>
          </cell>
          <cell r="U48" t="str">
            <v>N/A</v>
          </cell>
          <cell r="V48" t="str">
            <v>N/A</v>
          </cell>
          <cell r="W48" t="str">
            <v>N/A</v>
          </cell>
          <cell r="X48" t="str">
            <v>Cinco (05) meses, contado a partir del perfeccionamiento del mismo y registro presupuestal.</v>
          </cell>
          <cell r="Y48">
            <v>43118</v>
          </cell>
          <cell r="Z48">
            <v>43268</v>
          </cell>
          <cell r="AA48">
            <v>150</v>
          </cell>
          <cell r="AB48" t="str">
            <v xml:space="preserve"> </v>
          </cell>
          <cell r="AC48">
            <v>43268</v>
          </cell>
          <cell r="AD48" t="str">
            <v xml:space="preserve">LUIS FERNANDO NUÑEZ RINCÓN </v>
          </cell>
          <cell r="AE48" t="str">
            <v>DIRECCION JURIDICA</v>
          </cell>
          <cell r="AF48"/>
          <cell r="AG48"/>
          <cell r="AH48"/>
          <cell r="AI48"/>
          <cell r="AJ48">
            <v>26</v>
          </cell>
          <cell r="AK48"/>
          <cell r="AL48" t="str">
            <v xml:space="preserve">6218 </v>
          </cell>
        </row>
        <row r="49">
          <cell r="A49">
            <v>116</v>
          </cell>
          <cell r="B49" t="str">
            <v>048-2018</v>
          </cell>
          <cell r="C49" t="str">
            <v>ALEXANDER HERNANDEZ ZORRO</v>
          </cell>
          <cell r="D49">
            <v>1</v>
          </cell>
          <cell r="E49" t="str">
            <v>C.C.</v>
          </cell>
          <cell r="F49">
            <v>79645953</v>
          </cell>
          <cell r="G49" t="str">
            <v>HOMBRE</v>
          </cell>
          <cell r="H49">
            <v>43109</v>
          </cell>
          <cell r="I49" t="str">
            <v>Prestar servicios profesionales en la Oficina Asesora de Planeación de Función Pública para apoyar la articulación del Sistema Integrado de Gestión de la Entidad con el Modelo Integrado de Planeación y Gestión (MIPG).</v>
          </cell>
          <cell r="J49" t="str">
            <v>CONTRATACIÓN DIRECTA</v>
          </cell>
          <cell r="K49" t="str">
            <v>PRESTACION DE SERVICIOS PROFESIONALES</v>
          </cell>
          <cell r="L49" t="str">
            <v xml:space="preserve">(5) $ 5.008.000                        </v>
          </cell>
          <cell r="M49">
            <v>25040000</v>
          </cell>
          <cell r="N49"/>
          <cell r="O49">
            <v>25040000</v>
          </cell>
          <cell r="P49" t="str">
            <v>Cinco (5) mensualidades vencidas, cada una por valor de CINCO MILLONES OCHO MIL PESOS ($5.008.000) M/CTE.</v>
          </cell>
          <cell r="Q49" t="str">
            <v>7418  2018 04 Enero 2018</v>
          </cell>
          <cell r="R49" t="str">
            <v>IMPLEMENTACIÓN Y FORTALECIMIENTO DE LAS POLITICAS LIDERADAS POR FUNCION PUBLICA A NIVEL NACIONAL</v>
          </cell>
          <cell r="S49" t="str">
            <v>CSF</v>
          </cell>
          <cell r="T49" t="str">
            <v>10618-2018 18 Enero 2018</v>
          </cell>
          <cell r="U49" t="str">
            <v>N/A</v>
          </cell>
          <cell r="V49" t="str">
            <v>N/A</v>
          </cell>
          <cell r="W49" t="str">
            <v>N/A</v>
          </cell>
          <cell r="X49" t="str">
            <v>Cinco (05) meses, contado a partir del perfeccionamiento del mismo y registro presupuestal.</v>
          </cell>
          <cell r="Y49">
            <v>43118</v>
          </cell>
          <cell r="Z49">
            <v>43268</v>
          </cell>
          <cell r="AA49">
            <v>150</v>
          </cell>
          <cell r="AB49" t="str">
            <v xml:space="preserve"> </v>
          </cell>
          <cell r="AC49">
            <v>43268</v>
          </cell>
          <cell r="AD49" t="str">
            <v xml:space="preserve">OLGA LUCÍA ARANGO  </v>
          </cell>
          <cell r="AE49" t="str">
            <v>OFICINA ASESORA DE PLANEACION</v>
          </cell>
          <cell r="AF49"/>
          <cell r="AG49"/>
          <cell r="AH49"/>
          <cell r="AI49"/>
          <cell r="AJ49">
            <v>26</v>
          </cell>
          <cell r="AK49"/>
          <cell r="AL49" t="str">
            <v xml:space="preserve">7418 </v>
          </cell>
        </row>
        <row r="50">
          <cell r="A50">
            <v>103</v>
          </cell>
          <cell r="B50" t="str">
            <v>049-2018</v>
          </cell>
          <cell r="C50" t="str">
            <v>LUIS AREVALO MANTILLA</v>
          </cell>
          <cell r="D50">
            <v>1</v>
          </cell>
          <cell r="E50" t="str">
            <v>C.C.</v>
          </cell>
          <cell r="F50">
            <v>88288668</v>
          </cell>
          <cell r="G50" t="str">
            <v>HOMBRE</v>
          </cell>
          <cell r="H50">
            <v>43110</v>
          </cell>
          <cell r="I50" t="str">
            <v>Prestar servicios profesionales en la Oficina Asesora de Comunicaciones de Función Pública para apoyar el diseño y diagramación de documentos, publicaciones técnicas, asi como la producción y generacion de piezas gráficas, en el marco de la Estrategia de Comunicaciones.</v>
          </cell>
          <cell r="J50" t="str">
            <v>CONTRATACIÓN DIRECTA</v>
          </cell>
          <cell r="K50" t="str">
            <v>PRESTACION DE SERVICIOS PROFESIONALES</v>
          </cell>
          <cell r="L50" t="str">
            <v xml:space="preserve">(5) $ 4.700.000                        </v>
          </cell>
          <cell r="M50">
            <v>23500000</v>
          </cell>
          <cell r="N50"/>
          <cell r="O50">
            <v>23500000</v>
          </cell>
          <cell r="P50" t="str">
            <v>Cinco (5) mensualidades vencidas, cada una por valor de CUATRO MILLONES SETECIENTOS MIL PESOS ($4’700.000) M/CTE.</v>
          </cell>
          <cell r="Q50" t="str">
            <v>5318  2018 04 Enero 2018</v>
          </cell>
          <cell r="R50" t="str">
            <v>IMPLEMENTACIÓN Y FORTALECIMIENTO DE LAS POLITICAS LIDERADAS POR FUNCION PUBLICA A NIVEL NACIONAL</v>
          </cell>
          <cell r="S50" t="str">
            <v>CSF</v>
          </cell>
          <cell r="T50" t="str">
            <v>7418-2018 15 Enero 2018</v>
          </cell>
          <cell r="U50" t="str">
            <v>N/A</v>
          </cell>
          <cell r="V50" t="str">
            <v>N/A</v>
          </cell>
          <cell r="W50" t="str">
            <v>N/A</v>
          </cell>
          <cell r="X50" t="str">
            <v>Cinco (05) meses, contado a partir del perfeccionamiento del mismo y registro presupuestal.</v>
          </cell>
          <cell r="Y50">
            <v>43115</v>
          </cell>
          <cell r="Z50">
            <v>43265</v>
          </cell>
          <cell r="AA50">
            <v>150</v>
          </cell>
          <cell r="AB50" t="str">
            <v xml:space="preserve"> </v>
          </cell>
          <cell r="AC50">
            <v>43265</v>
          </cell>
          <cell r="AD50" t="str">
            <v>DIANA MARIA BOHORQUEZ LOSADA</v>
          </cell>
          <cell r="AE50" t="str">
            <v>OFICINA ASESORA DE COMUNICACIONES</v>
          </cell>
          <cell r="AF50"/>
          <cell r="AG50"/>
          <cell r="AH50"/>
          <cell r="AI50"/>
          <cell r="AJ50">
            <v>28.000000000000004</v>
          </cell>
          <cell r="AK50"/>
          <cell r="AL50" t="str">
            <v xml:space="preserve">5318 </v>
          </cell>
        </row>
        <row r="51">
          <cell r="A51">
            <v>90</v>
          </cell>
          <cell r="B51" t="str">
            <v>050-2018</v>
          </cell>
          <cell r="C51" t="str">
            <v>DORIS JULIETA GONZÁLEZ AREVALO</v>
          </cell>
          <cell r="D51">
            <v>1</v>
          </cell>
          <cell r="E51" t="str">
            <v>C.C.</v>
          </cell>
          <cell r="F51">
            <v>1015396220</v>
          </cell>
          <cell r="G51" t="str">
            <v>MUJER</v>
          </cell>
          <cell r="H51">
            <v>43110</v>
          </cell>
          <cell r="I51" t="str">
            <v>Prestar servicios profesionales en Función Pública para apoyar los trámites administrativos requeridos para el otorgamiento de comisiones de servicio y desplazamientos de servidores y contratistas al interior del país, para iniciar la ejecución de la tercera fase de la Estrategia de Gestiín Territorial.</v>
          </cell>
          <cell r="J51" t="str">
            <v>CONTRATACIÓN DIRECTA</v>
          </cell>
          <cell r="K51" t="str">
            <v>PRESTACION DE SERVICIOS PROFESIONALES</v>
          </cell>
          <cell r="L51" t="str">
            <v xml:space="preserve">(5) $ 2.800.000                        </v>
          </cell>
          <cell r="M51">
            <v>14000000</v>
          </cell>
          <cell r="N51"/>
          <cell r="O51">
            <v>14000000</v>
          </cell>
          <cell r="P51" t="str">
            <v>Cinco (5) mensualidades vencidas, cada una por valor de DOS MILLONES OCHOCIENTOS MIL PESOS ($2’800.000) M/CTE.</v>
          </cell>
          <cell r="Q51" t="str">
            <v>5018  2018 04 Enero 2018</v>
          </cell>
          <cell r="R51" t="str">
            <v>DESARROLLO Y FORTALECIMIENTO DE CAPACIDADES DE LAS ENTIDADES TERRITORIALES DE LA CIRCUNSCRIPCIÓN NACIONAL</v>
          </cell>
          <cell r="S51" t="str">
            <v>CSF</v>
          </cell>
          <cell r="T51" t="str">
            <v>5818-2018 11 Enero 2018</v>
          </cell>
          <cell r="U51" t="str">
            <v>N/A</v>
          </cell>
          <cell r="V51" t="str">
            <v>N/A</v>
          </cell>
          <cell r="W51" t="str">
            <v>N/A</v>
          </cell>
          <cell r="X51" t="str">
            <v>Cinco (05) meses, contado a partir del perfeccionamiento del mismo y registro presupuestal.</v>
          </cell>
          <cell r="Y51">
            <v>43111</v>
          </cell>
          <cell r="Z51">
            <v>43261</v>
          </cell>
          <cell r="AA51">
            <v>150</v>
          </cell>
          <cell r="AB51" t="str">
            <v xml:space="preserve"> </v>
          </cell>
          <cell r="AC51">
            <v>43261</v>
          </cell>
          <cell r="AD51" t="str">
            <v>DIANA MARCELA GOMEZ ANZOLA</v>
          </cell>
          <cell r="AE51" t="str">
            <v>GRUPO DE GESTION HUMANA</v>
          </cell>
          <cell r="AF51"/>
          <cell r="AG51"/>
          <cell r="AH51"/>
          <cell r="AI51"/>
          <cell r="AJ51">
            <v>30.666666666666664</v>
          </cell>
          <cell r="AK51"/>
          <cell r="AL51" t="str">
            <v xml:space="preserve">5018 </v>
          </cell>
        </row>
        <row r="52">
          <cell r="A52">
            <v>132</v>
          </cell>
          <cell r="B52" t="str">
            <v>051-2018</v>
          </cell>
          <cell r="C52" t="str">
            <v>JOHNAHAN ARROYO ARROYO</v>
          </cell>
          <cell r="D52">
            <v>1</v>
          </cell>
          <cell r="E52" t="str">
            <v>C.C.</v>
          </cell>
          <cell r="F52">
            <v>1111745184</v>
          </cell>
          <cell r="G52" t="str">
            <v>HOMBRE</v>
          </cell>
          <cell r="H52">
            <v>43110</v>
          </cell>
          <cell r="I52" t="str">
            <v>Prestar servicios profesionales en la Oficina de las Tecnologías de la Información y las Comunicaciones de Función Pública, para el desarrollo de software e implementación de nuevas funcionalidades en el Espacio Virtual de Asesoría - EVA, sus micrositios y la Red de Servidores Públicos, su mantenimiento y mejora, así como realizar la migración de EVA a la plataforma Liferay DXP.</v>
          </cell>
          <cell r="J52" t="str">
            <v>CONTRATACIÓN DIRECTA</v>
          </cell>
          <cell r="K52" t="str">
            <v>PRESTACION DE SERVICIOS PROFESIONALES</v>
          </cell>
          <cell r="L52" t="str">
            <v xml:space="preserve">(8) $ 6.510.000                        </v>
          </cell>
          <cell r="M52">
            <v>52080000</v>
          </cell>
          <cell r="N52"/>
          <cell r="O52">
            <v>52080000</v>
          </cell>
          <cell r="P52" t="str">
            <v>Ocho (8) mensualidades vencidas, cada una por valor de SEIS MILLONES QUINIENTOS DIEZ MIL PESOS ($6’510.000) M/CTE.</v>
          </cell>
          <cell r="Q52" t="str">
            <v>10418  2018 11 Enero 2018</v>
          </cell>
          <cell r="R52" t="str">
            <v>IMPLEMENTACIÓN Y FORTALECIMIENTO DE LAS POLITICAS LIDERADAS POR FUNCION PUBLICA A NIVEL NACIONAL</v>
          </cell>
          <cell r="S52" t="str">
            <v>CSF</v>
          </cell>
          <cell r="T52" t="str">
            <v>8318-2018 16 Enero 2018</v>
          </cell>
          <cell r="U52" t="str">
            <v>N/A</v>
          </cell>
          <cell r="V52" t="str">
            <v>N/A</v>
          </cell>
          <cell r="W52" t="str">
            <v>N/A</v>
          </cell>
          <cell r="X52" t="str">
            <v>Cinco (05) meses, contado a partir del perfeccionamiento del mismo y registro presupuestal.</v>
          </cell>
          <cell r="Y52">
            <v>43116</v>
          </cell>
          <cell r="Z52">
            <v>43266</v>
          </cell>
          <cell r="AA52">
            <v>150</v>
          </cell>
          <cell r="AB52" t="str">
            <v xml:space="preserve"> </v>
          </cell>
          <cell r="AC52">
            <v>43266</v>
          </cell>
          <cell r="AD52" t="str">
            <v>ROGER QUIRAMA GARCIA</v>
          </cell>
          <cell r="AE52" t="str">
            <v xml:space="preserve">OFICINA DE TECNOLOGIAS DE LA INFORMACION Y LAS COMUNICACIONES </v>
          </cell>
          <cell r="AF52"/>
          <cell r="AG52"/>
          <cell r="AH52"/>
          <cell r="AI52"/>
          <cell r="AJ52">
            <v>27.333333333333332</v>
          </cell>
          <cell r="AK52"/>
          <cell r="AL52" t="str">
            <v>10418</v>
          </cell>
        </row>
        <row r="53">
          <cell r="A53">
            <v>133</v>
          </cell>
          <cell r="B53" t="str">
            <v>052-2018</v>
          </cell>
          <cell r="C53" t="str">
            <v>JAVIER LEÓN RICARDO SANCHEZ LIZARAZO</v>
          </cell>
          <cell r="D53">
            <v>1</v>
          </cell>
          <cell r="E53" t="str">
            <v>C.C.</v>
          </cell>
          <cell r="F53">
            <v>80108622</v>
          </cell>
          <cell r="G53" t="str">
            <v>MUJER</v>
          </cell>
          <cell r="H53">
            <v>43110</v>
          </cell>
          <cell r="I53" t="str">
            <v>Prestar servicios profesionales en la Oficina de Tecnologias de la Información y las Comunicaciones de Función Pública, para apoyar realizar el diseño web del espacio virtual se asesoría - EVA, los micrositios y la red virtual de servidores públicos de Función Pública, aso como el soporte técnico, sostenibilidad y migración a la plataforma Liferay DXP del Espacio Virtual de Asesoria (EVA) e instalar, implmentar y configurar los cursos virtuales sobre el sistema moodle.</v>
          </cell>
          <cell r="J53" t="str">
            <v>CONTRATACIÓN DIRECTA</v>
          </cell>
          <cell r="K53" t="str">
            <v>PRESTACION DE SERVICIOS PROFESIONALES</v>
          </cell>
          <cell r="L53" t="str">
            <v xml:space="preserve">(8) $ 6.510.000                        </v>
          </cell>
          <cell r="M53">
            <v>52080000</v>
          </cell>
          <cell r="N53"/>
          <cell r="O53">
            <v>52080000</v>
          </cell>
          <cell r="P53" t="str">
            <v>Ocho (8) mensualidades vencidas, cada una por valor de SEIS MILLONES QUINIENTOS DIEZ MIL PESOS ($6’510.000) M/CTE.</v>
          </cell>
          <cell r="Q53" t="str">
            <v>10518  2018 11 Enero 2018</v>
          </cell>
          <cell r="R53" t="str">
            <v>IMPLEMENTACIÓN Y FORTALECIMIENTO DE LAS POLITICAS LIDERADAS POR FUNCION PUBLICA A NIVEL NACIONAL</v>
          </cell>
          <cell r="S53" t="str">
            <v>CSF</v>
          </cell>
          <cell r="T53" t="str">
            <v>7718-2018 16 Enero 2018</v>
          </cell>
          <cell r="U53" t="str">
            <v>N/A</v>
          </cell>
          <cell r="V53" t="str">
            <v>N/A</v>
          </cell>
          <cell r="W53" t="str">
            <v>N/A</v>
          </cell>
          <cell r="X53" t="str">
            <v>Ocho (08) meses, contado a partir del perfeccionamiento del mismo y registro presupuestal.</v>
          </cell>
          <cell r="Y53">
            <v>43116</v>
          </cell>
          <cell r="Z53">
            <v>43358</v>
          </cell>
          <cell r="AA53">
            <v>242</v>
          </cell>
          <cell r="AB53" t="str">
            <v xml:space="preserve"> </v>
          </cell>
          <cell r="AC53">
            <v>43358</v>
          </cell>
          <cell r="AD53" t="str">
            <v>ROGER QUIRAMA GARCIA</v>
          </cell>
          <cell r="AE53" t="str">
            <v xml:space="preserve">OFICINA DE TECNOLOGIAS DE LA INFORMACION Y LAS COMUNICACIONES </v>
          </cell>
          <cell r="AF53"/>
          <cell r="AG53"/>
          <cell r="AH53"/>
          <cell r="AI53"/>
          <cell r="AJ53">
            <v>16.942148760330578</v>
          </cell>
          <cell r="AK53"/>
          <cell r="AL53" t="str">
            <v>10518</v>
          </cell>
        </row>
        <row r="54">
          <cell r="A54">
            <v>131</v>
          </cell>
          <cell r="B54" t="str">
            <v>053-2018</v>
          </cell>
          <cell r="C54" t="str">
            <v>MONICA SILVA ELIAS</v>
          </cell>
          <cell r="D54">
            <v>1</v>
          </cell>
          <cell r="E54" t="str">
            <v>C.C.</v>
          </cell>
          <cell r="F54">
            <v>52309586</v>
          </cell>
          <cell r="G54" t="str">
            <v>MUJER</v>
          </cell>
          <cell r="H54">
            <v>43110</v>
          </cell>
          <cell r="I54" t="str">
            <v>Prestar servicios profesionales en la Oficina de Tecnologias de la Información y las Comunicaciones de Función Pública, para realizar el diseño gráfico y las piezas gráficas de los portales y micrositios de la Entidad, los cursos virtuales y la red virtual de servidores públicos, asi como apoyar la migración de EVA  a la plataforma Liferay DXP.</v>
          </cell>
          <cell r="J54" t="str">
            <v>CONTRATACIÓN DIRECTA</v>
          </cell>
          <cell r="K54" t="str">
            <v>PRESTACION DE SERVICIOS PROFESIONALES</v>
          </cell>
          <cell r="L54" t="str">
            <v xml:space="preserve">(8) $ 5.300.000                        </v>
          </cell>
          <cell r="M54">
            <v>42400000</v>
          </cell>
          <cell r="N54"/>
          <cell r="O54">
            <v>42400000</v>
          </cell>
          <cell r="P54" t="str">
            <v>Ocho (8) mensualidades vencidas, cada una por valor de CINCO MILLONES TRESCIENTOS MIL PESOS ($5’300.000) M/CTE.</v>
          </cell>
          <cell r="Q54" t="str">
            <v>10318  2018 11 Enero 2018</v>
          </cell>
          <cell r="R54" t="str">
            <v>IMPLEMENTACIÓN Y FORTALECIMIENTO DE LAS POLITICAS LIDERADAS POR FUNCION PUBLICA A NIVEL NACIONAL</v>
          </cell>
          <cell r="S54" t="str">
            <v>SSF</v>
          </cell>
          <cell r="T54" t="str">
            <v>8418-2018 16 Enero 2018</v>
          </cell>
          <cell r="U54" t="str">
            <v>N/A</v>
          </cell>
          <cell r="V54" t="str">
            <v>N/A</v>
          </cell>
          <cell r="W54" t="str">
            <v>N/A</v>
          </cell>
          <cell r="X54" t="str">
            <v>Ocho (08) meses, contado a partir del perfeccionamiento del mismo y registro presupuestal.</v>
          </cell>
          <cell r="Y54">
            <v>43116</v>
          </cell>
          <cell r="Z54">
            <v>43358</v>
          </cell>
          <cell r="AA54">
            <v>242</v>
          </cell>
          <cell r="AB54" t="str">
            <v xml:space="preserve"> </v>
          </cell>
          <cell r="AC54">
            <v>43358</v>
          </cell>
          <cell r="AD54" t="str">
            <v>ROGER QUIRAMA GARCIA</v>
          </cell>
          <cell r="AE54" t="str">
            <v xml:space="preserve">OFICINA DE TECNOLOGIAS DE LA INFORMACION Y LAS COMUNICACIONES </v>
          </cell>
          <cell r="AF54"/>
          <cell r="AG54"/>
          <cell r="AH54"/>
          <cell r="AI54"/>
          <cell r="AJ54">
            <v>16.942148760330578</v>
          </cell>
          <cell r="AK54"/>
          <cell r="AL54" t="str">
            <v>10318</v>
          </cell>
        </row>
        <row r="55">
          <cell r="A55">
            <v>187</v>
          </cell>
          <cell r="B55" t="str">
            <v>054-2018</v>
          </cell>
          <cell r="C55" t="str">
            <v>CATALINA CARDONA OSORIO</v>
          </cell>
          <cell r="D55">
            <v>1</v>
          </cell>
          <cell r="E55" t="str">
            <v>C.C.</v>
          </cell>
          <cell r="F55">
            <v>53027718</v>
          </cell>
          <cell r="G55" t="str">
            <v>MUJER</v>
          </cell>
          <cell r="H55">
            <v>43111</v>
          </cell>
          <cell r="I55" t="str">
            <v>Prestar servicios profesionales a Función Pública para apoyar la implementación del Modelo Integrado de Planeación y Gestión (MIPG) en las entidades del orden territorial que le sean asignadas, en desarrollo de la tercera fase de la Estrategia de Gestión Territorial.</v>
          </cell>
          <cell r="J55" t="str">
            <v>CONTRATACIÓN DIRECTA</v>
          </cell>
          <cell r="K55" t="str">
            <v>PRESTACION DE SERVICIOS PROFESIONALES</v>
          </cell>
          <cell r="L55" t="str">
            <v xml:space="preserve">(7) $ 8.500.000                        </v>
          </cell>
          <cell r="M55">
            <v>59500000</v>
          </cell>
          <cell r="N55"/>
          <cell r="O55">
            <v>59500000</v>
          </cell>
          <cell r="P55" t="str">
            <v>Siete (7) mensualidades vencidas, cada una por valor de OCHO MILLONES QUINIENTOS MIL PESOS ($8’500.000) M/CTE.</v>
          </cell>
          <cell r="Q55" t="str">
            <v>15818  2018 11 Enero 2018</v>
          </cell>
          <cell r="R55" t="str">
            <v>DESARROLLO Y FORTALECIMIENTO DE CAPACIDADES DE LAS ENTIDADES TERRITORIALES DE LA CIRCUNSCRIPCIÓN NACIONAL</v>
          </cell>
          <cell r="S55" t="str">
            <v>SSF</v>
          </cell>
          <cell r="T55" t="str">
            <v>13818-2018 22 Enero 2018</v>
          </cell>
          <cell r="U55" t="str">
            <v>N/A</v>
          </cell>
          <cell r="V55" t="str">
            <v>N/A</v>
          </cell>
          <cell r="W55" t="str">
            <v>N/A</v>
          </cell>
          <cell r="X55" t="str">
            <v>Siete (07) meses, contado a partir del perfeccionamiento del mismo y registro presupuestal.</v>
          </cell>
          <cell r="Y55">
            <v>43122</v>
          </cell>
          <cell r="Z55">
            <v>43333</v>
          </cell>
          <cell r="AA55">
            <v>211</v>
          </cell>
          <cell r="AB55" t="str">
            <v xml:space="preserve"> </v>
          </cell>
          <cell r="AC55">
            <v>43333</v>
          </cell>
          <cell r="AD55" t="str">
            <v>ALEJANDRO BECKER ROJAS</v>
          </cell>
          <cell r="AE55" t="str">
            <v xml:space="preserve">DIRECCION DE DESARROLLO ORGANIZACIONAL  </v>
          </cell>
          <cell r="AF55"/>
          <cell r="AG55"/>
          <cell r="AH55"/>
          <cell r="AI55"/>
          <cell r="AJ55">
            <v>16.587677725118482</v>
          </cell>
          <cell r="AK55"/>
          <cell r="AL55" t="str">
            <v>15818</v>
          </cell>
        </row>
        <row r="56">
          <cell r="A56">
            <v>196</v>
          </cell>
          <cell r="B56" t="str">
            <v>055-2018</v>
          </cell>
          <cell r="C56" t="str">
            <v xml:space="preserve">IVAN CARLOS RAFAEL BOBADILLA DAZA                         </v>
          </cell>
          <cell r="D56">
            <v>1</v>
          </cell>
          <cell r="E56" t="str">
            <v>C.C.</v>
          </cell>
          <cell r="F56">
            <v>77192796</v>
          </cell>
          <cell r="G56" t="str">
            <v>HOMBRE</v>
          </cell>
          <cell r="H56">
            <v>43111</v>
          </cell>
          <cell r="I56" t="str">
            <v>Prestar servicios profesionales a Función Pública para apoyar la implementación del Modelo Integrado de Planeación y Gestión (MIPG) en las entidades del orden territorial que le sean asignadas, en desarrollo de la tercera fase de la Estrategia de Gestión Territorial.</v>
          </cell>
          <cell r="J56" t="str">
            <v>CONTRATACIÓN DIRECTA</v>
          </cell>
          <cell r="K56" t="str">
            <v>PRESTACION DE SERVICIOS PROFESIONALES</v>
          </cell>
          <cell r="L56" t="str">
            <v xml:space="preserve">(7) $ 8.500.000                        </v>
          </cell>
          <cell r="M56">
            <v>59500000</v>
          </cell>
          <cell r="N56"/>
          <cell r="O56">
            <v>59500000</v>
          </cell>
          <cell r="P56" t="str">
            <v>Siete (7) mensualidades vencidas, cada una por valor de OCHO MILLONES QUINIENTOS MIL PESOS ($8’500.000) M/CTE.</v>
          </cell>
          <cell r="Q56" t="str">
            <v>16718  2018 11 Enero 2018</v>
          </cell>
          <cell r="R56" t="str">
            <v>DESARROLLO Y FORTALECIMIENTO DE CAPACIDADES DE LAS ENTIDADES TERRITORIALES DE LA CIRCUNSCRIPCIÓN NACIONAL</v>
          </cell>
          <cell r="S56" t="str">
            <v>SSF</v>
          </cell>
          <cell r="T56" t="str">
            <v>13918-2018 22 Enero 2018</v>
          </cell>
          <cell r="U56" t="str">
            <v>N/A</v>
          </cell>
          <cell r="V56" t="str">
            <v>N/A</v>
          </cell>
          <cell r="W56" t="str">
            <v>N/A</v>
          </cell>
          <cell r="X56" t="str">
            <v>Siete (07) meses, contado a partir del perfeccionamiento del mismo y registro presupuestal.</v>
          </cell>
          <cell r="Y56">
            <v>43122</v>
          </cell>
          <cell r="Z56">
            <v>43333</v>
          </cell>
          <cell r="AA56">
            <v>211</v>
          </cell>
          <cell r="AB56" t="str">
            <v xml:space="preserve"> </v>
          </cell>
          <cell r="AC56">
            <v>43333</v>
          </cell>
          <cell r="AD56" t="str">
            <v>ALEJANDRO BECKER ROJAS</v>
          </cell>
          <cell r="AE56" t="str">
            <v xml:space="preserve">DIRECCION DE DESARROLLO ORGANIZACIONAL  </v>
          </cell>
          <cell r="AF56"/>
          <cell r="AG56"/>
          <cell r="AH56"/>
          <cell r="AI56"/>
          <cell r="AJ56">
            <v>16.587677725118482</v>
          </cell>
          <cell r="AK56"/>
          <cell r="AL56" t="str">
            <v>16718</v>
          </cell>
        </row>
        <row r="57">
          <cell r="A57">
            <v>182</v>
          </cell>
          <cell r="B57" t="str">
            <v>056-2018</v>
          </cell>
          <cell r="C57" t="str">
            <v>ANGELA MARÍA CASTILLO LOZADA</v>
          </cell>
          <cell r="D57">
            <v>1</v>
          </cell>
          <cell r="E57" t="str">
            <v>C.C.</v>
          </cell>
          <cell r="F57">
            <v>52409044</v>
          </cell>
          <cell r="G57" t="str">
            <v>MUJER</v>
          </cell>
          <cell r="H57">
            <v>43111</v>
          </cell>
          <cell r="I57" t="str">
            <v>Prestar servicios profesionales a Función Pública para apoyar la implementación del Modelo Integrado de Planeación y Gestión (MIPG) en las entidades del orden territorial que le sean asignadas, en desarrollo de la tercera fase de la Estrategia de Gestión Territorial.</v>
          </cell>
          <cell r="J57" t="str">
            <v>CONTRATACIÓN DIRECTA</v>
          </cell>
          <cell r="K57" t="str">
            <v>PRESTACION DE SERVICIOS PROFESIONALES</v>
          </cell>
          <cell r="L57" t="str">
            <v xml:space="preserve">(7) $ 8.500.000                        </v>
          </cell>
          <cell r="M57">
            <v>59500000</v>
          </cell>
          <cell r="N57"/>
          <cell r="O57">
            <v>59500000</v>
          </cell>
          <cell r="P57" t="str">
            <v>Siete (7) mensualidades vencidas, cada una por valor de OCHO MILLONES QUINIENTOS MIL PESOS ($8’500.000) M/CTE.</v>
          </cell>
          <cell r="Q57" t="str">
            <v>15318  2018 11 Enero 2018</v>
          </cell>
          <cell r="R57" t="str">
            <v>DESARROLLO Y FORTALECIMIENTO DE CAPACIDADES DE LAS ENTIDADES TERRITORIALES DE LA CIRCUNSCRIPCIÓN NACIONAL</v>
          </cell>
          <cell r="S57" t="str">
            <v>SSF</v>
          </cell>
          <cell r="T57" t="str">
            <v>14018-2018 22 Enero 2018</v>
          </cell>
          <cell r="U57" t="str">
            <v>N/A</v>
          </cell>
          <cell r="V57" t="str">
            <v>N/A</v>
          </cell>
          <cell r="W57" t="str">
            <v>N/A</v>
          </cell>
          <cell r="X57" t="str">
            <v>Siete (07) meses, contado a partir del perfeccionamiento del mismo y registro presupuestal.</v>
          </cell>
          <cell r="Y57">
            <v>43122</v>
          </cell>
          <cell r="Z57">
            <v>43333</v>
          </cell>
          <cell r="AA57">
            <v>211</v>
          </cell>
          <cell r="AB57" t="str">
            <v xml:space="preserve"> </v>
          </cell>
          <cell r="AC57">
            <v>43333</v>
          </cell>
          <cell r="AD57" t="str">
            <v>ALEJANDRO BECKER ROJAS</v>
          </cell>
          <cell r="AE57" t="str">
            <v xml:space="preserve">DIRECCION DE DESARROLLO ORGANIZACIONAL  </v>
          </cell>
          <cell r="AF57"/>
          <cell r="AG57"/>
          <cell r="AH57"/>
          <cell r="AI57"/>
          <cell r="AJ57">
            <v>16.587677725118482</v>
          </cell>
          <cell r="AK57"/>
          <cell r="AL57" t="str">
            <v>15318</v>
          </cell>
        </row>
        <row r="58">
          <cell r="A58">
            <v>194</v>
          </cell>
          <cell r="B58" t="str">
            <v>057-2018</v>
          </cell>
          <cell r="C58" t="str">
            <v>MAURICIO ENRIQUE RAMIREZ ALVAREZ</v>
          </cell>
          <cell r="D58">
            <v>1</v>
          </cell>
          <cell r="E58" t="str">
            <v>C.C.</v>
          </cell>
          <cell r="F58">
            <v>79350828</v>
          </cell>
          <cell r="G58" t="str">
            <v>HOMBRE</v>
          </cell>
          <cell r="H58">
            <v>43111</v>
          </cell>
          <cell r="I58" t="str">
            <v>Prestar servicios profesionales a Función Pública para apoyar la implementación del Modelo Integrado de Planeación y Gestión (MIPG) en las entidades del orden territorial que le sean asignadas, en desarrollo de la tercera fase de la Estrategia de Gestión Territorial.</v>
          </cell>
          <cell r="J58" t="str">
            <v>CONTRATACIÓN DIRECTA</v>
          </cell>
          <cell r="K58" t="str">
            <v>PRESTACION DE SERVICIOS PROFESIONALES</v>
          </cell>
          <cell r="L58" t="str">
            <v xml:space="preserve">(7) $ 8.500.000                        </v>
          </cell>
          <cell r="M58">
            <v>59500000</v>
          </cell>
          <cell r="N58"/>
          <cell r="O58">
            <v>59500000</v>
          </cell>
          <cell r="P58" t="str">
            <v>Siete (7) mensualidades vencidas, cada una por valor de OCHO MILLONES QUINIENTOS MIL PESOS ($8’500.000) M/CTE.</v>
          </cell>
          <cell r="Q58" t="str">
            <v>16518  2018 11 Enero 2018</v>
          </cell>
          <cell r="R58" t="str">
            <v>DESARROLLO Y FORTALECIMIENTO DE CAPACIDADES DE LAS ENTIDADES TERRITORIALES DE LA CIRCUNSCRIPCIÓN NACIONAL</v>
          </cell>
          <cell r="S58" t="str">
            <v>SSF</v>
          </cell>
          <cell r="T58" t="str">
            <v>14118-2018 22 Enero 2018</v>
          </cell>
          <cell r="U58" t="str">
            <v>N/A</v>
          </cell>
          <cell r="V58" t="str">
            <v>N/A</v>
          </cell>
          <cell r="W58" t="str">
            <v>N/A</v>
          </cell>
          <cell r="X58" t="str">
            <v>Siete (07) meses, contado a partir del perfeccionamiento del mismo y registro presupuestal.</v>
          </cell>
          <cell r="Y58">
            <v>43122</v>
          </cell>
          <cell r="Z58">
            <v>43333</v>
          </cell>
          <cell r="AA58">
            <v>211</v>
          </cell>
          <cell r="AB58" t="str">
            <v xml:space="preserve"> </v>
          </cell>
          <cell r="AC58">
            <v>43333</v>
          </cell>
          <cell r="AD58" t="str">
            <v>ALEJANDRO BECKER ROJAS</v>
          </cell>
          <cell r="AE58" t="str">
            <v xml:space="preserve">DIRECCION DE DESARROLLO ORGANIZACIONAL  </v>
          </cell>
          <cell r="AF58"/>
          <cell r="AG58"/>
          <cell r="AH58"/>
          <cell r="AI58"/>
          <cell r="AJ58">
            <v>16.587677725118482</v>
          </cell>
          <cell r="AK58"/>
          <cell r="AL58" t="str">
            <v>16518</v>
          </cell>
        </row>
        <row r="59">
          <cell r="A59">
            <v>188</v>
          </cell>
          <cell r="B59" t="str">
            <v>058-2018</v>
          </cell>
          <cell r="C59" t="str">
            <v>HECTOR ARMANDO BARÓN RODRIGUEZ</v>
          </cell>
          <cell r="D59">
            <v>1</v>
          </cell>
          <cell r="E59" t="str">
            <v>C.C.</v>
          </cell>
          <cell r="F59">
            <v>80499733</v>
          </cell>
          <cell r="G59" t="str">
            <v>HOMBRE</v>
          </cell>
          <cell r="H59">
            <v>43111</v>
          </cell>
          <cell r="I59" t="str">
            <v>Prestar servicios profesionales a Función Pública para apoyar la implementación del Modelo Integrado de Planeación y Gestión (MIPG) en las entidades del orden territorial que le sean asignadas, en desarrollo de la tercera fase de la Estrategia de Gestión Territorial.</v>
          </cell>
          <cell r="J59" t="str">
            <v>CONTRATACIÓN DIRECTA</v>
          </cell>
          <cell r="K59" t="str">
            <v>PRESTACION DE SERVICIOS PROFESIONALES</v>
          </cell>
          <cell r="L59" t="str">
            <v xml:space="preserve">(7) $ 8.500.000                        </v>
          </cell>
          <cell r="M59">
            <v>59500000</v>
          </cell>
          <cell r="N59"/>
          <cell r="O59">
            <v>59500000</v>
          </cell>
          <cell r="P59" t="str">
            <v>Siete (7) mensualidades vencidas, cada una por valor de OCHO MILLONES QUINIENTOS MIL PESOS ($8’500.000) M/CTE.</v>
          </cell>
          <cell r="Q59" t="str">
            <v>15918  2018 11 Enero 2018</v>
          </cell>
          <cell r="R59" t="str">
            <v>DESARROLLO Y FORTALECIMIENTO DE CAPACIDADES DE LAS ENTIDADES TERRITORIALES DE LA CIRCUNSCRIPCIÓN NACIONAL</v>
          </cell>
          <cell r="S59" t="str">
            <v>SSF</v>
          </cell>
          <cell r="T59" t="str">
            <v>14218-2018 22 Enero 2018</v>
          </cell>
          <cell r="U59" t="str">
            <v>N/A</v>
          </cell>
          <cell r="V59" t="str">
            <v>N/A</v>
          </cell>
          <cell r="W59" t="str">
            <v>N/A</v>
          </cell>
          <cell r="X59" t="str">
            <v>Siete (07) meses, contado a partir del perfeccionamiento del mismo y registro presupuestal.</v>
          </cell>
          <cell r="Y59">
            <v>43122</v>
          </cell>
          <cell r="Z59">
            <v>43333</v>
          </cell>
          <cell r="AA59">
            <v>211</v>
          </cell>
          <cell r="AB59" t="str">
            <v xml:space="preserve"> </v>
          </cell>
          <cell r="AC59">
            <v>43333</v>
          </cell>
          <cell r="AD59" t="str">
            <v>ALEJANDRO BECKER ROJAS</v>
          </cell>
          <cell r="AE59" t="str">
            <v xml:space="preserve">DIRECCION DE DESARROLLO ORGANIZACIONAL  </v>
          </cell>
          <cell r="AF59"/>
          <cell r="AG59"/>
          <cell r="AH59"/>
          <cell r="AI59"/>
          <cell r="AJ59">
            <v>16.587677725118482</v>
          </cell>
          <cell r="AK59"/>
          <cell r="AL59" t="str">
            <v>15918</v>
          </cell>
        </row>
        <row r="60">
          <cell r="A60">
            <v>180</v>
          </cell>
          <cell r="B60" t="str">
            <v>059-2018</v>
          </cell>
          <cell r="C60" t="str">
            <v>JULIO CÉSAR OVALLE VARGAS</v>
          </cell>
          <cell r="D60">
            <v>1</v>
          </cell>
          <cell r="E60" t="str">
            <v>C.C.</v>
          </cell>
          <cell r="F60">
            <v>19408596</v>
          </cell>
          <cell r="G60" t="str">
            <v>HOMBRE</v>
          </cell>
          <cell r="H60">
            <v>43111</v>
          </cell>
          <cell r="I60" t="str">
            <v>Prestar servicios profesionales a Función Pública para apoyar la implementación del Modelo Integrado de Planeación y Gestión (MIPG) en las entidades del orden territorial que le sean asignadas, en desarrollo de la tercera fase de la Estrategia de Gestión Territorial.</v>
          </cell>
          <cell r="J60" t="str">
            <v>CONTRATACIÓN DIRECTA</v>
          </cell>
          <cell r="K60" t="str">
            <v>PRESTACION DE SERVICIOS PROFESIONALES</v>
          </cell>
          <cell r="L60" t="str">
            <v xml:space="preserve">(7) $ 8.500.000                        </v>
          </cell>
          <cell r="M60">
            <v>59500000</v>
          </cell>
          <cell r="N60"/>
          <cell r="O60">
            <v>59500000</v>
          </cell>
          <cell r="P60" t="str">
            <v>Siete (7) mensualidades vencidas, cada una por valor de OCHO MILLONES QUINIENTOS MIL PESOS ($8’500.000) M/CTE.</v>
          </cell>
          <cell r="Q60" t="str">
            <v>15118  2018 11 Enero 2018</v>
          </cell>
          <cell r="R60" t="str">
            <v>DESARROLLO Y FORTALECIMIENTO DE CAPACIDADES DE LAS ENTIDADES TERRITORIALES DE LA CIRCUNSCRIPCIÓN NACIONAL</v>
          </cell>
          <cell r="S60" t="str">
            <v>SSF</v>
          </cell>
          <cell r="T60" t="str">
            <v>14318-2018 22 Enero 2018</v>
          </cell>
          <cell r="U60" t="str">
            <v>N/A</v>
          </cell>
          <cell r="V60" t="str">
            <v>N/A</v>
          </cell>
          <cell r="W60" t="str">
            <v>N/A</v>
          </cell>
          <cell r="X60" t="str">
            <v>Siete (07) meses, contado a partir del perfeccionamiento del mismo y registro presupuestal.</v>
          </cell>
          <cell r="Y60">
            <v>43122</v>
          </cell>
          <cell r="Z60">
            <v>43333</v>
          </cell>
          <cell r="AA60">
            <v>211</v>
          </cell>
          <cell r="AB60" t="str">
            <v xml:space="preserve"> </v>
          </cell>
          <cell r="AC60">
            <v>43333</v>
          </cell>
          <cell r="AD60" t="str">
            <v>ALEJANDRO BECKER ROJAS</v>
          </cell>
          <cell r="AE60" t="str">
            <v xml:space="preserve">DIRECCION DE DESARROLLO ORGANIZACIONAL  </v>
          </cell>
          <cell r="AF60"/>
          <cell r="AG60"/>
          <cell r="AH60"/>
          <cell r="AI60"/>
          <cell r="AJ60">
            <v>16.587677725118482</v>
          </cell>
          <cell r="AK60"/>
          <cell r="AL60" t="str">
            <v>15118</v>
          </cell>
        </row>
        <row r="61">
          <cell r="A61">
            <v>186</v>
          </cell>
          <cell r="B61" t="str">
            <v>060-2018</v>
          </cell>
          <cell r="C61" t="str">
            <v>IVONNE PATRICIA BERNAL LOPEZ</v>
          </cell>
          <cell r="D61">
            <v>1</v>
          </cell>
          <cell r="E61" t="str">
            <v>C.C.</v>
          </cell>
          <cell r="F61">
            <v>52800226</v>
          </cell>
          <cell r="G61" t="str">
            <v>MUJER</v>
          </cell>
          <cell r="H61">
            <v>43111</v>
          </cell>
          <cell r="I61" t="str">
            <v>Prestar servicios profesionales a Función Pública para apoyar la implementación del Modelo Integrado de Planeación y Gestión (MIPG) en las entidades del orden territorial que le sean asignadas, en desarrollo de la tercera fase de la Estrategia de Gestión Territorial.</v>
          </cell>
          <cell r="J61" t="str">
            <v>CONTRATACIÓN DIRECTA</v>
          </cell>
          <cell r="K61" t="str">
            <v>PRESTACION DE SERVICIOS PROFESIONALES</v>
          </cell>
          <cell r="L61" t="str">
            <v xml:space="preserve">(7) $ 8.500.000                        </v>
          </cell>
          <cell r="M61">
            <v>59500000</v>
          </cell>
          <cell r="N61"/>
          <cell r="O61">
            <v>59500000</v>
          </cell>
          <cell r="P61" t="str">
            <v>Siete (7) mensualidades vencidas, cada una por valor de OCHO MILLONES QUINIENTOS MIL PESOS ($8’500.000) M/CTE.</v>
          </cell>
          <cell r="Q61" t="str">
            <v>15718  2018 11 Enero 2018</v>
          </cell>
          <cell r="R61" t="str">
            <v>DESARROLLO Y FORTALECIMIENTO DE CAPACIDADES DE LAS ENTIDADES TERRITORIALES DE LA CIRCUNSCRIPCIÓN NACIONAL</v>
          </cell>
          <cell r="S61" t="str">
            <v>SSF</v>
          </cell>
          <cell r="T61" t="str">
            <v>14418-2018 22 Enero 2018</v>
          </cell>
          <cell r="U61" t="str">
            <v>N/A</v>
          </cell>
          <cell r="V61" t="str">
            <v>N/A</v>
          </cell>
          <cell r="W61" t="str">
            <v>N/A</v>
          </cell>
          <cell r="X61" t="str">
            <v>Siete (07) meses, contado a partir del perfeccionamiento del mismo y registro presupuestal.</v>
          </cell>
          <cell r="Y61">
            <v>43122</v>
          </cell>
          <cell r="Z61">
            <v>43333</v>
          </cell>
          <cell r="AA61">
            <v>211</v>
          </cell>
          <cell r="AB61" t="str">
            <v xml:space="preserve"> </v>
          </cell>
          <cell r="AC61">
            <v>43333</v>
          </cell>
          <cell r="AD61" t="str">
            <v>ALEJANDRO BECKER ROJAS</v>
          </cell>
          <cell r="AE61" t="str">
            <v xml:space="preserve">DIRECCION DE DESARROLLO ORGANIZACIONAL  </v>
          </cell>
          <cell r="AF61"/>
          <cell r="AG61"/>
          <cell r="AH61"/>
          <cell r="AI61"/>
          <cell r="AJ61">
            <v>16.587677725118482</v>
          </cell>
          <cell r="AK61"/>
          <cell r="AL61" t="str">
            <v>15718</v>
          </cell>
        </row>
        <row r="62">
          <cell r="A62">
            <v>185</v>
          </cell>
          <cell r="B62" t="str">
            <v>061-2018</v>
          </cell>
          <cell r="C62" t="str">
            <v>ANDREA PAOLA PRIETO MOSQUERA</v>
          </cell>
          <cell r="D62">
            <v>1</v>
          </cell>
          <cell r="E62" t="str">
            <v>C.C.</v>
          </cell>
          <cell r="F62">
            <v>52505587</v>
          </cell>
          <cell r="G62" t="str">
            <v>MUJER</v>
          </cell>
          <cell r="H62">
            <v>43111</v>
          </cell>
          <cell r="I62" t="str">
            <v>Prestar servicios profesionales a Función Pública para apoyar la implementación del Modelo Integrado de Planeación y Gestión (MIPG) en las entidades del orden territorial que le sean asignadas, en desarrollo de la tercera fase de la Estrategia de Gestión Territorial.</v>
          </cell>
          <cell r="J62" t="str">
            <v>CONTRATACIÓN DIRECTA</v>
          </cell>
          <cell r="K62" t="str">
            <v>PRESTACION DE SERVICIOS PROFESIONALES</v>
          </cell>
          <cell r="L62" t="str">
            <v xml:space="preserve">(7) $ 8.500.000                        </v>
          </cell>
          <cell r="M62">
            <v>59500000</v>
          </cell>
          <cell r="N62"/>
          <cell r="O62">
            <v>59500000</v>
          </cell>
          <cell r="P62" t="str">
            <v>Siete (7) mensualidades vencidas, cada una por valor de OCHO MILLONES QUINIENTOS MIL PESOS ($8’500.000) M/CTE.</v>
          </cell>
          <cell r="Q62" t="str">
            <v>15618  2018 11 Enero 2018</v>
          </cell>
          <cell r="R62" t="str">
            <v>DESARROLLO Y FORTALECIMIENTO DE CAPACIDADES DE LAS ENTIDADES TERRITORIALES DE LA CIRCUNSCRIPCIÓN NACIONAL</v>
          </cell>
          <cell r="S62" t="str">
            <v>SSF</v>
          </cell>
          <cell r="T62" t="str">
            <v>14518-2018 22 Enero 2018</v>
          </cell>
          <cell r="U62" t="str">
            <v>N/A</v>
          </cell>
          <cell r="V62" t="str">
            <v>N/A</v>
          </cell>
          <cell r="W62" t="str">
            <v>N/A</v>
          </cell>
          <cell r="X62" t="str">
            <v>Siete (07) meses, contado a partir del perfeccionamiento del mismo y registro presupuestal.</v>
          </cell>
          <cell r="Y62">
            <v>43122</v>
          </cell>
          <cell r="Z62">
            <v>43333</v>
          </cell>
          <cell r="AA62">
            <v>211</v>
          </cell>
          <cell r="AB62" t="str">
            <v xml:space="preserve"> </v>
          </cell>
          <cell r="AC62">
            <v>43333</v>
          </cell>
          <cell r="AD62" t="str">
            <v>ALEJANDRO BECKER ROJAS</v>
          </cell>
          <cell r="AE62" t="str">
            <v xml:space="preserve">DIRECCION DE DESARROLLO ORGANIZACIONAL  </v>
          </cell>
          <cell r="AF62"/>
          <cell r="AG62"/>
          <cell r="AH62"/>
          <cell r="AI62"/>
          <cell r="AJ62">
            <v>16.587677725118482</v>
          </cell>
          <cell r="AK62"/>
          <cell r="AL62" t="str">
            <v>15618</v>
          </cell>
        </row>
        <row r="63">
          <cell r="A63">
            <v>162</v>
          </cell>
          <cell r="B63" t="str">
            <v>062-2018</v>
          </cell>
          <cell r="C63" t="str">
            <v>ARMANDO LOPEZ CORTES</v>
          </cell>
          <cell r="D63">
            <v>1</v>
          </cell>
          <cell r="E63" t="str">
            <v>C.C.</v>
          </cell>
          <cell r="F63">
            <v>19440982</v>
          </cell>
          <cell r="G63" t="str">
            <v>HOMBRE</v>
          </cell>
          <cell r="H63">
            <v>43111</v>
          </cell>
          <cell r="I63" t="str">
            <v>Prestar servicios profesionales en la Dirección Jurídica de Función Pública, para apoyar la depuración de contenidos, la revisión de restrictores, el seguimiento al proceso de registro de los documentos en el Gestor Normativo y el planteamiento de ajustes y propuestas de modificación.</v>
          </cell>
          <cell r="J63" t="str">
            <v>CONTRATACIÓN DIRECTA</v>
          </cell>
          <cell r="K63" t="str">
            <v>PRESTACION DE SERVICIOS PROFESIONALES</v>
          </cell>
          <cell r="L63" t="str">
            <v xml:space="preserve">(5) $ 9.185.500                        </v>
          </cell>
          <cell r="M63">
            <v>45927500</v>
          </cell>
          <cell r="N63"/>
          <cell r="O63">
            <v>45927500</v>
          </cell>
          <cell r="P63" t="str">
            <v>Cinco (5) mensualidades vencidas, cada una por valor de NUEVE MILLONES CIENTO OCHENTA Y CINCO MIL QUINIENTOS PESOS ($9’185.500) M/CTE</v>
          </cell>
          <cell r="Q63" t="str">
            <v>13318  2018 11 Enero 2018</v>
          </cell>
          <cell r="R63" t="str">
            <v>IMPLEMENTACIÓN Y FORTALECIMIENTO DE LAS POLITICAS LIDERADAS POR FUNCION PUBLICA A NIVEL NACIONAL</v>
          </cell>
          <cell r="S63" t="str">
            <v>SSF</v>
          </cell>
          <cell r="T63" t="str">
            <v>9618-2018 17 Enero 2018</v>
          </cell>
          <cell r="U63" t="str">
            <v>N/A</v>
          </cell>
          <cell r="V63" t="str">
            <v>N/A</v>
          </cell>
          <cell r="W63" t="str">
            <v>N/A</v>
          </cell>
          <cell r="X63" t="str">
            <v>Cinco (05) meses, contado a partir del perfeccionamiento del mismo y registro presupuestal.</v>
          </cell>
          <cell r="Y63">
            <v>43117</v>
          </cell>
          <cell r="Z63">
            <v>43267</v>
          </cell>
          <cell r="AA63">
            <v>150</v>
          </cell>
          <cell r="AB63" t="str">
            <v xml:space="preserve"> </v>
          </cell>
          <cell r="AC63">
            <v>43267</v>
          </cell>
          <cell r="AD63" t="str">
            <v>LUIS FERNANDO NUÑEZ RINCÓN</v>
          </cell>
          <cell r="AE63" t="str">
            <v>DIRECCION JURIDICA</v>
          </cell>
          <cell r="AF63"/>
          <cell r="AG63"/>
          <cell r="AH63"/>
          <cell r="AI63"/>
          <cell r="AJ63">
            <v>26.666666666666668</v>
          </cell>
          <cell r="AK63"/>
          <cell r="AL63" t="str">
            <v>13318</v>
          </cell>
        </row>
        <row r="64">
          <cell r="A64">
            <v>136</v>
          </cell>
          <cell r="B64" t="str">
            <v>063-2018</v>
          </cell>
          <cell r="C64" t="str">
            <v>DANIEL ASDRUBAL ROMERO GONZÁLEZ</v>
          </cell>
          <cell r="D64">
            <v>1</v>
          </cell>
          <cell r="E64" t="str">
            <v>C.C.</v>
          </cell>
          <cell r="F64">
            <v>1020716018</v>
          </cell>
          <cell r="G64" t="str">
            <v>HOMBRE</v>
          </cell>
          <cell r="H64">
            <v>43112</v>
          </cell>
          <cell r="I64" t="str">
            <v>Prestar servicios profesionales en Función Pública para articular la operación y funcionamiento del Espacio Virtual de Asesoría (EVA), así como la definición y desarrollo de contenidos institucionales para su publicación en la intranet o en el portal web de la Entidad.</v>
          </cell>
          <cell r="J64" t="str">
            <v>CONTRATACIÓN DIRECTA</v>
          </cell>
          <cell r="K64" t="str">
            <v>PRESTACION DE SERVICIOS PROFESIONALES</v>
          </cell>
          <cell r="L64" t="str">
            <v xml:space="preserve">(8) $ 9.282.000                        </v>
          </cell>
          <cell r="M64">
            <v>74256000</v>
          </cell>
          <cell r="N64"/>
          <cell r="O64">
            <v>74256000</v>
          </cell>
          <cell r="P64" t="str">
            <v>Ocho (8) mensualidades vencidas, cada una por valor de NUEVE MILLONES DOCIENTOS OCHENTA Y DOS MIL PESOS ($9.282.000) M/CTE.</v>
          </cell>
          <cell r="Q64" t="str">
            <v>10818  2018 11 Enero 2018</v>
          </cell>
          <cell r="R64" t="str">
            <v>IMPLEMENTACIÓN Y FORTALECIMIENTO DE LAS POLITICAS LIDERADAS POR FUNCION PUBLICA A NIVEL NACIONAL</v>
          </cell>
          <cell r="S64" t="str">
            <v>SSF</v>
          </cell>
          <cell r="T64" t="str">
            <v>7818-2018 16 Enero 2018</v>
          </cell>
          <cell r="U64" t="str">
            <v>N/A</v>
          </cell>
          <cell r="V64" t="str">
            <v>N/A</v>
          </cell>
          <cell r="W64" t="str">
            <v>N/A</v>
          </cell>
          <cell r="X64" t="str">
            <v>Ocho (08) meses, contado a partir del perfeccionamiento del mismo y registro presupuestal.</v>
          </cell>
          <cell r="Y64">
            <v>43116</v>
          </cell>
          <cell r="Z64">
            <v>43358</v>
          </cell>
          <cell r="AA64">
            <v>242</v>
          </cell>
          <cell r="AB64" t="str">
            <v xml:space="preserve"> </v>
          </cell>
          <cell r="AC64">
            <v>43358</v>
          </cell>
          <cell r="AD64" t="str">
            <v xml:space="preserve">NATALIA ASTRID CARDONA RAMIREZ </v>
          </cell>
          <cell r="AE64" t="str">
            <v>SECRETARIA GENERAL</v>
          </cell>
          <cell r="AF64"/>
          <cell r="AG64"/>
          <cell r="AH64"/>
          <cell r="AI64"/>
          <cell r="AJ64">
            <v>16.942148760330578</v>
          </cell>
          <cell r="AK64"/>
          <cell r="AL64" t="str">
            <v>10818</v>
          </cell>
        </row>
        <row r="65">
          <cell r="A65">
            <v>150</v>
          </cell>
          <cell r="B65" t="str">
            <v>064-2018</v>
          </cell>
          <cell r="C65" t="str">
            <v>VANESSA YISETH LOZANO GUERRERO</v>
          </cell>
          <cell r="D65">
            <v>1</v>
          </cell>
          <cell r="E65" t="str">
            <v>C.C.</v>
          </cell>
          <cell r="F65">
            <v>1016023567</v>
          </cell>
          <cell r="G65" t="str">
            <v>MUJER</v>
          </cell>
          <cell r="H65">
            <v>43112</v>
          </cell>
          <cell r="I65" t="str">
            <v>Prestar servicios profesionales en la Dirección de Gestión y Desempeño Institucional de Función Pública para apoyar las gestiones relacionadas con el Banco de Éxitos y la convocatoria al Premio Nacional de Alta Gerencia versión 2018.</v>
          </cell>
          <cell r="J65" t="str">
            <v>CONTRATACIÓN DIRECTA</v>
          </cell>
          <cell r="K65" t="str">
            <v>PRESTACION DE SERVICIOS PROFESIONALES</v>
          </cell>
          <cell r="L65" t="str">
            <v xml:space="preserve">(8) $ 3.673.000                        </v>
          </cell>
          <cell r="M65">
            <v>29384000</v>
          </cell>
          <cell r="N65"/>
          <cell r="O65">
            <v>29384000</v>
          </cell>
          <cell r="P65" t="str">
            <v>Ocho (8) mensualidades vencidas, cada una por valor de TRES MILLONES SEISCIENTOS SETENTA Y TRES MIL PESOS ($3.673.000) M/CTE.</v>
          </cell>
          <cell r="Q65" t="str">
            <v>12118  2018 11 Enero 2018</v>
          </cell>
          <cell r="R65" t="str">
            <v>IMPLEMENTACIÓN Y FORTALECIMIENTO DE LAS POLITICAS LIDERADAS POR FUNCION PUBLICA A NIVEL NACIONAL</v>
          </cell>
          <cell r="S65" t="str">
            <v>SSF</v>
          </cell>
          <cell r="T65" t="str">
            <v>8518-2018 16 Enero 2018</v>
          </cell>
          <cell r="U65" t="str">
            <v>N/A</v>
          </cell>
          <cell r="V65" t="str">
            <v>N/A</v>
          </cell>
          <cell r="W65" t="str">
            <v>N/A</v>
          </cell>
          <cell r="X65" t="str">
            <v>Ocho (08) meses, contado a partir del perfeccionamiento del mismo y registro presupuestal.</v>
          </cell>
          <cell r="Y65">
            <v>43116</v>
          </cell>
          <cell r="Z65">
            <v>43358</v>
          </cell>
          <cell r="AA65">
            <v>242</v>
          </cell>
          <cell r="AB65" t="str">
            <v xml:space="preserve"> </v>
          </cell>
          <cell r="AC65">
            <v>43358</v>
          </cell>
          <cell r="AD65" t="str">
            <v xml:space="preserve">MARÍA DEL PILAR GARCÍA GONZÁLEZ </v>
          </cell>
          <cell r="AE65" t="str">
            <v>DIRECCION DE GESTION Y DESEMPEÑO INSTITUCIONAL</v>
          </cell>
          <cell r="AF65"/>
          <cell r="AG65"/>
          <cell r="AH65"/>
          <cell r="AI65"/>
          <cell r="AJ65">
            <v>16.942148760330578</v>
          </cell>
          <cell r="AK65"/>
          <cell r="AL65" t="str">
            <v>12118</v>
          </cell>
        </row>
        <row r="66">
          <cell r="A66">
            <v>128</v>
          </cell>
          <cell r="B66" t="str">
            <v>065-2018</v>
          </cell>
          <cell r="C66" t="str">
            <v>PAULA VANESSA PAEZ BARRETO</v>
          </cell>
          <cell r="D66">
            <v>1</v>
          </cell>
          <cell r="E66" t="str">
            <v>C.C.</v>
          </cell>
          <cell r="F66">
            <v>1024467503</v>
          </cell>
          <cell r="G66" t="str">
            <v>MUJER</v>
          </cell>
          <cell r="H66">
            <v>43112</v>
          </cell>
          <cell r="I66" t="str">
            <v>Prestar servicios profesionales en la Dirección de Participación, Transparencia y Servicio al Ciudadano de Función Pública, para apoyar la elaboración, articulación y desarrollo de la estrategia de acompañamiento a entidades del nivel nacional y territorial, para la implementación del Sistema de Rendición de Cuentas del “Acuerdo Final para la Terminación del Conflicto y la Construcción de una Paz Estable y Duradera”, así como en la ejecución y articulación de éste, con espacios de participación ciudadana, sistemas de información existentes y retroalimentación al sistema de rendición de cuentas diseñado.</v>
          </cell>
          <cell r="J66" t="str">
            <v>CONTRATACIÓN DIRECTA</v>
          </cell>
          <cell r="K66" t="str">
            <v>PRESTACION DE SERVICIOS PROFESIONALES</v>
          </cell>
          <cell r="L66" t="str">
            <v xml:space="preserve">(8) $ 7.350.000                        </v>
          </cell>
          <cell r="M66">
            <v>58800000</v>
          </cell>
          <cell r="N66"/>
          <cell r="O66">
            <v>58800000</v>
          </cell>
          <cell r="P66" t="str">
            <v>Ocho (8) mensualidades vencidas, cada una por valor de SIETE MILLONES TRESCIENTOS CINCUENTA MIL PESOS ($7’350.000) M/CTE</v>
          </cell>
          <cell r="Q66" t="str">
            <v>10018  2018 11 Enero 2018</v>
          </cell>
          <cell r="R66" t="str">
            <v>IMPLEMENTACIÓN Y FORTALECIMIENTO DE LAS POLITICAS LIDERADAS POR FUNCION PUBLICA A NIVEL NACIONAL</v>
          </cell>
          <cell r="S66" t="str">
            <v>SSF</v>
          </cell>
          <cell r="T66" t="str">
            <v>7918-2018 16 Enero 2018</v>
          </cell>
          <cell r="U66" t="str">
            <v>N/A</v>
          </cell>
          <cell r="V66" t="str">
            <v>N/A</v>
          </cell>
          <cell r="W66" t="str">
            <v>N/A</v>
          </cell>
          <cell r="X66" t="str">
            <v>Ocho (08) meses, contado a partir del perfeccionamiento del mismo y registro presupuestal.</v>
          </cell>
          <cell r="Y66">
            <v>43116</v>
          </cell>
          <cell r="Z66">
            <v>43358</v>
          </cell>
          <cell r="AA66">
            <v>242</v>
          </cell>
          <cell r="AB66" t="str">
            <v xml:space="preserve"> </v>
          </cell>
          <cell r="AC66">
            <v>43358</v>
          </cell>
          <cell r="AD66" t="str">
            <v xml:space="preserve">SUSAN SIMONETH SUÁREZ GUTIÉRREZ </v>
          </cell>
          <cell r="AE66" t="str">
            <v>DIRECCION DE PARTICIPACION, TRANSPARENCIA Y SERVICIO AL CIUDADANO</v>
          </cell>
          <cell r="AF66"/>
          <cell r="AG66"/>
          <cell r="AH66"/>
          <cell r="AI66"/>
          <cell r="AJ66">
            <v>16.942148760330578</v>
          </cell>
          <cell r="AK66"/>
          <cell r="AL66" t="str">
            <v>10018</v>
          </cell>
        </row>
        <row r="67">
          <cell r="A67">
            <v>138</v>
          </cell>
          <cell r="B67" t="str">
            <v>066-2018</v>
          </cell>
          <cell r="C67" t="str">
            <v>ANDREA CAROLINA VELANDIA DURAN</v>
          </cell>
          <cell r="D67">
            <v>1</v>
          </cell>
          <cell r="E67" t="str">
            <v>C.C.</v>
          </cell>
          <cell r="F67">
            <v>1075655422</v>
          </cell>
          <cell r="G67" t="str">
            <v>MUJER</v>
          </cell>
          <cell r="H67">
            <v>43112</v>
          </cell>
          <cell r="I67" t="str">
            <v xml:space="preserve">Prestar servicios profesionales en el Grupo de Servicio al Ciudadano Institucional de Función Pública para apoyar jurídicamente el fortalecimiento del primer nivel de servicio en materia de atención a peticiones, quejas, reclamos y sugerencias. </v>
          </cell>
          <cell r="J67" t="str">
            <v>CONTRATACIÓN DIRECTA</v>
          </cell>
          <cell r="K67" t="str">
            <v>PRESTACION DE SERVICIOS PROFESIONALES</v>
          </cell>
          <cell r="L67" t="str">
            <v xml:space="preserve">(8) $ 5.231.000                        </v>
          </cell>
          <cell r="M67">
            <v>41848000</v>
          </cell>
          <cell r="N67"/>
          <cell r="O67">
            <v>41848000</v>
          </cell>
          <cell r="P67" t="str">
            <v xml:space="preserve">Ocho (8) mensualidades vencidas, cada una por valor de CINCO MILLONES DOSCIENTOS TREINTA Y UN MIL PESOS ($5.231.000) M/CTE </v>
          </cell>
          <cell r="Q67" t="str">
            <v>11018  2018 11 Enero 2018</v>
          </cell>
          <cell r="R67" t="str">
            <v>IMPLEMENTACIÓN Y FORTALECIMIENTO DE LAS POLITICAS LIDERADAS POR FUNCION PUBLICA A NIVEL NACIONAL</v>
          </cell>
          <cell r="S67" t="str">
            <v>SSF</v>
          </cell>
          <cell r="T67" t="str">
            <v>8018-2018 16 Enero 2018</v>
          </cell>
          <cell r="U67" t="str">
            <v>N/A</v>
          </cell>
          <cell r="V67" t="str">
            <v>N/A</v>
          </cell>
          <cell r="W67" t="str">
            <v>N/A</v>
          </cell>
          <cell r="X67" t="str">
            <v>Ocho (08) meses, contado a partir del perfeccionamiento del mismo y registro presupuestal.</v>
          </cell>
          <cell r="Y67">
            <v>43116</v>
          </cell>
          <cell r="Z67">
            <v>43358</v>
          </cell>
          <cell r="AA67">
            <v>242</v>
          </cell>
          <cell r="AB67" t="str">
            <v xml:space="preserve"> </v>
          </cell>
          <cell r="AC67">
            <v>43358</v>
          </cell>
          <cell r="AD67" t="str">
            <v>JAIME HUMBERTO JIMENEZ VERGEL</v>
          </cell>
          <cell r="AE67" t="str">
            <v>GRUPO DE SERVICIO AL CIUDADANO INSTITUCIONAL</v>
          </cell>
          <cell r="AF67"/>
          <cell r="AG67"/>
          <cell r="AH67"/>
          <cell r="AI67"/>
          <cell r="AJ67">
            <v>16.942148760330578</v>
          </cell>
          <cell r="AK67"/>
          <cell r="AL67" t="str">
            <v>11018</v>
          </cell>
        </row>
        <row r="68">
          <cell r="A68">
            <v>157</v>
          </cell>
          <cell r="B68" t="str">
            <v>067-2018</v>
          </cell>
          <cell r="C68" t="str">
            <v>DIANA ELIZABETH SALINAS GUTIERREZ</v>
          </cell>
          <cell r="D68">
            <v>1</v>
          </cell>
          <cell r="E68" t="str">
            <v>C.C.</v>
          </cell>
          <cell r="F68">
            <v>53028154</v>
          </cell>
          <cell r="G68" t="str">
            <v>MUJER</v>
          </cell>
          <cell r="H68">
            <v>43112</v>
          </cell>
          <cell r="I68" t="str">
            <v>Prestar servicios profesionales en la Direccion Juridica  de Función Pública para apoya la estructuración, publicación, depuración y/o actalización de los contenidos del Gestor Normativo de la Entidad.</v>
          </cell>
          <cell r="J68" t="str">
            <v>CONTRATACIÓN DIRECTA</v>
          </cell>
          <cell r="K68" t="str">
            <v>PRESTACION DE SERVICIOS PROFESIONALES</v>
          </cell>
          <cell r="L68" t="str">
            <v xml:space="preserve">(8) $ 4.452.000                        </v>
          </cell>
          <cell r="M68">
            <v>35616000</v>
          </cell>
          <cell r="N68"/>
          <cell r="O68">
            <v>35616000</v>
          </cell>
          <cell r="P68" t="str">
            <v>Ocho (8) mensualidades vencidas, cada una por valor de CUATRO MILLONES CUATROCIENTOS CINCUENTA Y DOS MIL PESOS ($4’452.000) M/CTE.</v>
          </cell>
          <cell r="Q68" t="str">
            <v>12818  2018 11 Enero 2018</v>
          </cell>
          <cell r="R68" t="str">
            <v>IMPLEMENTACIÓN Y FORTALECIMIENTO DE LAS POLITICAS LIDERADAS POR FUNCION PUBLICA A NIVEL NACIONAL</v>
          </cell>
          <cell r="S68" t="str">
            <v>SSF</v>
          </cell>
          <cell r="T68" t="str">
            <v>8118-2018 16 Enero 2018</v>
          </cell>
          <cell r="U68" t="str">
            <v>N/A</v>
          </cell>
          <cell r="V68" t="str">
            <v>N/A</v>
          </cell>
          <cell r="W68" t="str">
            <v>N/A</v>
          </cell>
          <cell r="X68" t="str">
            <v>Ocho (08) meses, contado a partir del perfeccionamiento del mismo y registro presupuestal.</v>
          </cell>
          <cell r="Y68">
            <v>43116</v>
          </cell>
          <cell r="Z68">
            <v>43358</v>
          </cell>
          <cell r="AA68">
            <v>242</v>
          </cell>
          <cell r="AB68" t="str">
            <v xml:space="preserve"> </v>
          </cell>
          <cell r="AC68">
            <v>43358</v>
          </cell>
          <cell r="AD68" t="str">
            <v>LUIS FERNANDO NUÑEZ RINCÓN</v>
          </cell>
          <cell r="AE68" t="str">
            <v>DIRECCION JURIDICA</v>
          </cell>
          <cell r="AF68"/>
          <cell r="AG68"/>
          <cell r="AH68"/>
          <cell r="AI68"/>
          <cell r="AJ68">
            <v>16.942148760330578</v>
          </cell>
          <cell r="AK68"/>
          <cell r="AL68" t="str">
            <v>12818</v>
          </cell>
        </row>
        <row r="69">
          <cell r="A69">
            <v>184</v>
          </cell>
          <cell r="B69" t="str">
            <v>068-2018</v>
          </cell>
          <cell r="C69" t="str">
            <v>PAULA CAROLINA VILLAMIZAR</v>
          </cell>
          <cell r="D69">
            <v>1</v>
          </cell>
          <cell r="E69" t="str">
            <v>C.C.</v>
          </cell>
          <cell r="F69">
            <v>60342105</v>
          </cell>
          <cell r="G69" t="str">
            <v>MUJER</v>
          </cell>
          <cell r="H69">
            <v>43115</v>
          </cell>
          <cell r="I69" t="str">
            <v>Prestar servicios profesionales a Función Pública para apoyar la implementación del Modelo Integrado de Planeación y Gestión (MIPG) en las entidades del orden territorial que le sean asignadas, en desarrollo de la tercera fase de la Estrategia de Gestión Territorial.</v>
          </cell>
          <cell r="J69" t="str">
            <v>CONTRATACIÓN DIRECTA</v>
          </cell>
          <cell r="K69" t="str">
            <v>PRESTACION DE SERVICIOS PROFESIONALES</v>
          </cell>
          <cell r="L69" t="str">
            <v xml:space="preserve">(7) $ 8.500.000                        </v>
          </cell>
          <cell r="M69">
            <v>59500000</v>
          </cell>
          <cell r="N69"/>
          <cell r="O69">
            <v>59500000</v>
          </cell>
          <cell r="P69" t="str">
            <v>Siete (7) mensualidades vencidas, cada una por valor de OCHO MILLONES QUINIENTOS MIL PESOS ($8’500.000) M/CTE.</v>
          </cell>
          <cell r="Q69" t="str">
            <v>15518  2018 11 Enero 2018</v>
          </cell>
          <cell r="R69" t="str">
            <v>DESARROLLO Y FORTALECIMIENTO DE CAPACIDADES DE LAS ENTIDADES TERRITORIALES DE LA CIRCUNSCRIPCIÓN NACIONAL</v>
          </cell>
          <cell r="S69" t="str">
            <v>SSF</v>
          </cell>
          <cell r="T69" t="str">
            <v>14618-2018 22 Enero 2018</v>
          </cell>
          <cell r="U69" t="str">
            <v>N/A</v>
          </cell>
          <cell r="V69" t="str">
            <v>N/A</v>
          </cell>
          <cell r="W69" t="str">
            <v>N/A</v>
          </cell>
          <cell r="X69" t="str">
            <v>Siete (07) meses, contado a partir del perfeccionamiento del mismo y registro presupuestal.</v>
          </cell>
          <cell r="Y69">
            <v>43122</v>
          </cell>
          <cell r="Z69">
            <v>43333</v>
          </cell>
          <cell r="AA69">
            <v>211</v>
          </cell>
          <cell r="AB69" t="str">
            <v xml:space="preserve"> </v>
          </cell>
          <cell r="AC69">
            <v>43333</v>
          </cell>
          <cell r="AD69" t="str">
            <v>ALEJANDRO BECKER ROJAS</v>
          </cell>
          <cell r="AE69" t="str">
            <v xml:space="preserve">DIRECCION DE DESARROLLO ORGANIZACIONAL  </v>
          </cell>
          <cell r="AF69"/>
          <cell r="AG69"/>
          <cell r="AH69"/>
          <cell r="AI69"/>
          <cell r="AJ69">
            <v>16.587677725118482</v>
          </cell>
          <cell r="AK69"/>
          <cell r="AL69" t="str">
            <v>15518</v>
          </cell>
        </row>
        <row r="70">
          <cell r="A70">
            <v>193</v>
          </cell>
          <cell r="B70" t="str">
            <v>069-2018</v>
          </cell>
          <cell r="C70" t="str">
            <v>GLADYS RAMIREZ PEÑA</v>
          </cell>
          <cell r="D70">
            <v>1</v>
          </cell>
          <cell r="E70" t="str">
            <v>C.C.</v>
          </cell>
          <cell r="F70">
            <v>1120561450</v>
          </cell>
          <cell r="G70" t="str">
            <v>MUJER</v>
          </cell>
          <cell r="H70">
            <v>43115</v>
          </cell>
          <cell r="I70" t="str">
            <v>Prestar servicios profesionales a Función Pública para apoyar la implementación del Modelo Integrado de Planeación y Gestión (MIPG) en las entidades del orden territorial que le sean asignadas, en desarrollo de la tercera fase de la Estrategia de Gestión Territorial.</v>
          </cell>
          <cell r="J70" t="str">
            <v>CONTRATACIÓN DIRECTA</v>
          </cell>
          <cell r="K70" t="str">
            <v>PRESTACION DE SERVICIOS PROFESIONALES</v>
          </cell>
          <cell r="L70" t="str">
            <v xml:space="preserve">(7) $ 8.500.000                        </v>
          </cell>
          <cell r="M70">
            <v>59500000</v>
          </cell>
          <cell r="N70"/>
          <cell r="O70">
            <v>59500000</v>
          </cell>
          <cell r="P70" t="str">
            <v>Siete (7) mensualidades vencidas, cada una por valor de OCHO MILLONES QUINIENTOS MIL PESOS ($8’500.000) M/CTE.</v>
          </cell>
          <cell r="Q70" t="str">
            <v>16418  2018 11 Enero 2018</v>
          </cell>
          <cell r="R70" t="str">
            <v>DESARROLLO Y FORTALECIMIENTO DE CAPACIDADES DE LAS ENTIDADES TERRITORIALES DE LA CIRCUNSCRIPCIÓN NACIONAL</v>
          </cell>
          <cell r="S70" t="str">
            <v>SSF</v>
          </cell>
          <cell r="T70" t="str">
            <v>14718-2018 22 Enero 2018</v>
          </cell>
          <cell r="U70" t="str">
            <v>N/A</v>
          </cell>
          <cell r="V70" t="str">
            <v>N/A</v>
          </cell>
          <cell r="W70" t="str">
            <v>N/A</v>
          </cell>
          <cell r="X70" t="str">
            <v>Siete (07) meses, contado a partir del perfeccionamiento del mismo y registro presupuestal.</v>
          </cell>
          <cell r="Y70">
            <v>43122</v>
          </cell>
          <cell r="Z70">
            <v>43333</v>
          </cell>
          <cell r="AA70">
            <v>211</v>
          </cell>
          <cell r="AB70" t="str">
            <v xml:space="preserve"> </v>
          </cell>
          <cell r="AC70">
            <v>43333</v>
          </cell>
          <cell r="AD70" t="str">
            <v>ALEJANDRO BECKER ROJAS</v>
          </cell>
          <cell r="AE70" t="str">
            <v xml:space="preserve">DIRECCION DE DESARROLLO ORGANIZACIONAL  </v>
          </cell>
          <cell r="AF70"/>
          <cell r="AG70"/>
          <cell r="AH70"/>
          <cell r="AI70"/>
          <cell r="AJ70">
            <v>16.587677725118482</v>
          </cell>
          <cell r="AK70"/>
          <cell r="AL70" t="str">
            <v>16418</v>
          </cell>
        </row>
        <row r="71">
          <cell r="A71">
            <v>189</v>
          </cell>
          <cell r="B71" t="str">
            <v>070-2018</v>
          </cell>
          <cell r="C71" t="str">
            <v>GIOVANNA CONSUELO PARDO BERNAL</v>
          </cell>
          <cell r="D71">
            <v>1</v>
          </cell>
          <cell r="E71" t="str">
            <v>C.C.</v>
          </cell>
          <cell r="F71">
            <v>35253491</v>
          </cell>
          <cell r="G71" t="str">
            <v>MUJER</v>
          </cell>
          <cell r="H71">
            <v>43115</v>
          </cell>
          <cell r="I71" t="str">
            <v>Prestar servicios profesionales a Función Pública para apoyar la implementación del Modelo Integrado de Planeación y Gestión (MIPG) en las entidades del orden territorial que le sean asignadas, en desarrollo de la tercera fase de la Estrategia de Gestión Territorial.</v>
          </cell>
          <cell r="J71" t="str">
            <v>CONTRATACIÓN DIRECTA</v>
          </cell>
          <cell r="K71" t="str">
            <v>PRESTACION DE SERVICIOS PROFESIONALES</v>
          </cell>
          <cell r="L71" t="str">
            <v xml:space="preserve">(7) $ 8.500.000                        </v>
          </cell>
          <cell r="M71">
            <v>59500000</v>
          </cell>
          <cell r="N71"/>
          <cell r="O71">
            <v>59500000</v>
          </cell>
          <cell r="P71" t="str">
            <v>Siete (7) mensualidades vencidas, cada una por valor de OCHO MILLONES QUINIENTOS MIL PESOS ($8’500.000) M/CTE.</v>
          </cell>
          <cell r="Q71" t="str">
            <v>16018  2018 11 Enero 2018</v>
          </cell>
          <cell r="R71" t="str">
            <v>DESARROLLO Y FORTALECIMIENTO DE CAPACIDADES DE LAS ENTIDADES TERRITORIALES DE LA CIRCUNSCRIPCIÓN NACIONAL</v>
          </cell>
          <cell r="S71" t="str">
            <v>SSF</v>
          </cell>
          <cell r="T71" t="str">
            <v>14818-2018 22 Enero 2018</v>
          </cell>
          <cell r="U71" t="str">
            <v>N/A</v>
          </cell>
          <cell r="V71" t="str">
            <v>N/A</v>
          </cell>
          <cell r="W71" t="str">
            <v>N/A</v>
          </cell>
          <cell r="X71" t="str">
            <v>Siete (07) meses, contado a partir del perfeccionamiento del mismo y registro presupuestal.</v>
          </cell>
          <cell r="Y71">
            <v>43122</v>
          </cell>
          <cell r="Z71">
            <v>43333</v>
          </cell>
          <cell r="AA71">
            <v>211</v>
          </cell>
          <cell r="AB71" t="str">
            <v xml:space="preserve"> </v>
          </cell>
          <cell r="AC71">
            <v>43333</v>
          </cell>
          <cell r="AD71" t="str">
            <v>ALEJANDRO BECKER ROJAS</v>
          </cell>
          <cell r="AE71" t="str">
            <v xml:space="preserve">DIRECCION DE DESARROLLO ORGANIZACIONAL  </v>
          </cell>
          <cell r="AF71"/>
          <cell r="AG71"/>
          <cell r="AH71"/>
          <cell r="AI71"/>
          <cell r="AJ71">
            <v>16.587677725118482</v>
          </cell>
          <cell r="AK71"/>
          <cell r="AL71" t="str">
            <v>16018</v>
          </cell>
        </row>
        <row r="72">
          <cell r="A72">
            <v>192</v>
          </cell>
          <cell r="B72" t="str">
            <v>071-2018</v>
          </cell>
          <cell r="C72" t="str">
            <v>EDIT YOHANA PALACIO ESPINOSA</v>
          </cell>
          <cell r="D72">
            <v>1</v>
          </cell>
          <cell r="E72" t="str">
            <v>C.C.</v>
          </cell>
          <cell r="F72">
            <v>43277960</v>
          </cell>
          <cell r="G72" t="str">
            <v>MUJER</v>
          </cell>
          <cell r="H72">
            <v>43115</v>
          </cell>
          <cell r="I72" t="str">
            <v>Prestar servicios profesionales a Función Pública para apoyar la implementación del Modelo Integrado de Planeación y Gestión (MIPG) en las entidades del orden territorial que le sean asignadas, en desarrollo de la tercera fase de la Estrategia de Gestión Territorial.</v>
          </cell>
          <cell r="J72" t="str">
            <v>CONTRATACIÓN DIRECTA</v>
          </cell>
          <cell r="K72" t="str">
            <v>PRESTACION DE SERVICIOS PROFESIONALES</v>
          </cell>
          <cell r="L72" t="str">
            <v xml:space="preserve">(7) $ 8.500.000                        </v>
          </cell>
          <cell r="M72">
            <v>59500000</v>
          </cell>
          <cell r="N72"/>
          <cell r="O72">
            <v>59500000</v>
          </cell>
          <cell r="P72" t="str">
            <v>Siete (7) mensualidades vencidas, cada una por valor de OCHO MILLONES QUINIENTOS MIL PESOS ($8’500.000) M/CTE.</v>
          </cell>
          <cell r="Q72" t="str">
            <v>16318  2018 11 Enero 2018</v>
          </cell>
          <cell r="R72" t="str">
            <v>DESARROLLO Y FORTALECIMIENTO DE CAPACIDADES DE LAS ENTIDADES TERRITORIALES DE LA CIRCUNSCRIPCIÓN NACIONAL</v>
          </cell>
          <cell r="S72" t="str">
            <v>SSF</v>
          </cell>
          <cell r="T72" t="str">
            <v>14918-2018 22 Enero 2018</v>
          </cell>
          <cell r="U72" t="str">
            <v>N/A</v>
          </cell>
          <cell r="V72" t="str">
            <v>N/A</v>
          </cell>
          <cell r="W72" t="str">
            <v>N/A</v>
          </cell>
          <cell r="X72" t="str">
            <v>Siete (07) meses, contado a partir del perfeccionamiento del mismo y registro presupuestal.</v>
          </cell>
          <cell r="Y72">
            <v>43122</v>
          </cell>
          <cell r="Z72">
            <v>43333</v>
          </cell>
          <cell r="AA72">
            <v>211</v>
          </cell>
          <cell r="AB72" t="str">
            <v xml:space="preserve"> </v>
          </cell>
          <cell r="AC72">
            <v>43333</v>
          </cell>
          <cell r="AD72" t="str">
            <v>ALEJANDRO BECKER ROJAS</v>
          </cell>
          <cell r="AE72" t="str">
            <v xml:space="preserve">DIRECCION DE DESARROLLO ORGANIZACIONAL  </v>
          </cell>
          <cell r="AF72"/>
          <cell r="AG72"/>
          <cell r="AH72"/>
          <cell r="AI72"/>
          <cell r="AJ72">
            <v>16.587677725118482</v>
          </cell>
          <cell r="AK72"/>
          <cell r="AL72" t="str">
            <v>16318</v>
          </cell>
        </row>
        <row r="73">
          <cell r="A73">
            <v>191</v>
          </cell>
          <cell r="B73" t="str">
            <v>072-2018</v>
          </cell>
          <cell r="C73" t="str">
            <v>YOVANNA ALEXANDRA CADAVID HERRERA</v>
          </cell>
          <cell r="D73">
            <v>1</v>
          </cell>
          <cell r="E73" t="str">
            <v>C.C.</v>
          </cell>
          <cell r="F73">
            <v>42144704</v>
          </cell>
          <cell r="G73" t="str">
            <v>MUJER</v>
          </cell>
          <cell r="H73">
            <v>43115</v>
          </cell>
          <cell r="I73" t="str">
            <v>Prestar servicios profesionales a Función Pública para apoyar la implementación del Modelo Integrado de Planeación y Gestión (MIPG) en las entidades del orden territorial que le sean asignadas, en desarrollo de la tercera fase de la Estrategia de Gestión Territorial.</v>
          </cell>
          <cell r="J73" t="str">
            <v>CONTRATACIÓN DIRECTA</v>
          </cell>
          <cell r="K73" t="str">
            <v>PRESTACION DE SERVICIOS PROFESIONALES</v>
          </cell>
          <cell r="L73" t="str">
            <v xml:space="preserve">(7) $ 8.500.000                        </v>
          </cell>
          <cell r="M73">
            <v>59500000</v>
          </cell>
          <cell r="N73"/>
          <cell r="O73">
            <v>59500000</v>
          </cell>
          <cell r="P73" t="str">
            <v>Siete (7) mensualidades vencidas, cada una por valor de OCHO MILLONES QUINIENTOS MIL PESOS ($8’500.000) M/CTE.</v>
          </cell>
          <cell r="Q73" t="str">
            <v>16218  2018 11 Enero 2018</v>
          </cell>
          <cell r="R73" t="str">
            <v>DESARROLLO Y FORTALECIMIENTO DE CAPACIDADES DE LAS ENTIDADES TERRITORIALES DE LA CIRCUNSCRIPCIÓN NACIONAL</v>
          </cell>
          <cell r="S73" t="str">
            <v>SSF</v>
          </cell>
          <cell r="T73" t="str">
            <v>15018-2018 22 Enero 2018</v>
          </cell>
          <cell r="U73" t="str">
            <v>N/A</v>
          </cell>
          <cell r="V73" t="str">
            <v>N/A</v>
          </cell>
          <cell r="W73" t="str">
            <v>N/A</v>
          </cell>
          <cell r="X73" t="str">
            <v>Siete (07) meses, contado a partir del perfeccionamiento del mismo y registro presupuestal.</v>
          </cell>
          <cell r="Y73">
            <v>43122</v>
          </cell>
          <cell r="Z73">
            <v>43333</v>
          </cell>
          <cell r="AA73">
            <v>211</v>
          </cell>
          <cell r="AB73" t="str">
            <v xml:space="preserve"> </v>
          </cell>
          <cell r="AC73">
            <v>43333</v>
          </cell>
          <cell r="AD73" t="str">
            <v>ALEJANDRO BECKER ROJAS</v>
          </cell>
          <cell r="AE73" t="str">
            <v xml:space="preserve">DIRECCION DE DESARROLLO ORGANIZACIONAL  </v>
          </cell>
          <cell r="AF73"/>
          <cell r="AG73"/>
          <cell r="AH73"/>
          <cell r="AI73"/>
          <cell r="AJ73">
            <v>16.587677725118482</v>
          </cell>
          <cell r="AK73"/>
          <cell r="AL73" t="str">
            <v>16218</v>
          </cell>
        </row>
        <row r="74">
          <cell r="A74">
            <v>181</v>
          </cell>
          <cell r="B74" t="str">
            <v>073-2018</v>
          </cell>
          <cell r="C74" t="str">
            <v>TRINA MARCELA BOCANEGRA MONTALVO</v>
          </cell>
          <cell r="D74">
            <v>1</v>
          </cell>
          <cell r="E74" t="str">
            <v>C.C.</v>
          </cell>
          <cell r="F74">
            <v>52340300</v>
          </cell>
          <cell r="G74" t="str">
            <v>MUJER</v>
          </cell>
          <cell r="H74">
            <v>43115</v>
          </cell>
          <cell r="I74" t="str">
            <v>Prestar servicios profesionales a Función Pública para apoyar la implementación del Modelo Integrado de Planeación y Gestión (MIPG) en las entidades del orden territorial que le sean asignadas, en desarrollo de la tercera fase de la Estrategia de Gestión Territorial.</v>
          </cell>
          <cell r="J74" t="str">
            <v>CONTRATACIÓN DIRECTA</v>
          </cell>
          <cell r="K74" t="str">
            <v>PRESTACION DE SERVICIOS PROFESIONALES</v>
          </cell>
          <cell r="L74" t="str">
            <v xml:space="preserve">(7) $ 8.500.000                        </v>
          </cell>
          <cell r="M74">
            <v>59500000</v>
          </cell>
          <cell r="N74"/>
          <cell r="O74">
            <v>59500000</v>
          </cell>
          <cell r="P74" t="str">
            <v>Siete (7) mensualidades vencidas, cada una por valor de OCHO MILLONES QUINIENTOS MIL PESOS ($8’500.000) M/CTE.</v>
          </cell>
          <cell r="Q74" t="str">
            <v>15218  2018 11 Enero 2018</v>
          </cell>
          <cell r="R74" t="str">
            <v>DESARROLLO Y FORTALECIMIENTO DE CAPACIDADES DE LAS ENTIDADES TERRITORIALES DE LA CIRCUNSCRIPCIÓN NACIONAL</v>
          </cell>
          <cell r="S74" t="str">
            <v>SSF</v>
          </cell>
          <cell r="T74" t="str">
            <v>15118-2018 22 Enero 2018</v>
          </cell>
          <cell r="U74" t="str">
            <v>N/A</v>
          </cell>
          <cell r="V74" t="str">
            <v>N/A</v>
          </cell>
          <cell r="W74" t="str">
            <v>N/A</v>
          </cell>
          <cell r="X74" t="str">
            <v>Siete (07) meses, contado a partir del perfeccionamiento del mismo y registro presupuestal.</v>
          </cell>
          <cell r="Y74">
            <v>43122</v>
          </cell>
          <cell r="Z74">
            <v>43333</v>
          </cell>
          <cell r="AA74">
            <v>211</v>
          </cell>
          <cell r="AB74" t="str">
            <v xml:space="preserve"> </v>
          </cell>
          <cell r="AC74">
            <v>43333</v>
          </cell>
          <cell r="AD74" t="str">
            <v>ALEJANDRO BECKER ROJAS</v>
          </cell>
          <cell r="AE74" t="str">
            <v xml:space="preserve">DIRECCION DE DESARROLLO ORGANIZACIONAL  </v>
          </cell>
          <cell r="AF74"/>
          <cell r="AG74"/>
          <cell r="AH74"/>
          <cell r="AI74"/>
          <cell r="AJ74">
            <v>16.587677725118482</v>
          </cell>
          <cell r="AK74"/>
          <cell r="AL74" t="str">
            <v>15218</v>
          </cell>
        </row>
        <row r="75">
          <cell r="A75">
            <v>190</v>
          </cell>
          <cell r="B75" t="str">
            <v>074-2018</v>
          </cell>
          <cell r="C75" t="str">
            <v>RODRIGO DAVID NOGUERA FAJARDO</v>
          </cell>
          <cell r="D75">
            <v>1</v>
          </cell>
          <cell r="E75" t="str">
            <v>C.C.</v>
          </cell>
          <cell r="F75">
            <v>87065770</v>
          </cell>
          <cell r="G75" t="str">
            <v>HOMBRE</v>
          </cell>
          <cell r="H75">
            <v>43115</v>
          </cell>
          <cell r="I75" t="str">
            <v>Prestar servicios profesionales a Función Pública para apoyar la implementación del Modelo Integrado de Planeación y Gestión (MIPG) en las entidades del orden territorial que le sean asignadas, en desarrollo de la tercera fase de la Estrategia de Gestión Territorial.</v>
          </cell>
          <cell r="J75" t="str">
            <v>CONTRATACIÓN DIRECTA</v>
          </cell>
          <cell r="K75" t="str">
            <v>PRESTACION DE SERVICIOS PROFESIONALES</v>
          </cell>
          <cell r="L75" t="str">
            <v xml:space="preserve">(7) $ 8.500.000                        </v>
          </cell>
          <cell r="M75">
            <v>59500000</v>
          </cell>
          <cell r="N75"/>
          <cell r="O75">
            <v>59500000</v>
          </cell>
          <cell r="P75" t="str">
            <v>Siete (7) mensualidades vencidas, cada una por valor de OCHO MILLONES QUINIENTOS MIL PESOS ($8’500.000) M/CTE.</v>
          </cell>
          <cell r="Q75" t="str">
            <v>16118  2018 11 Enero 2018</v>
          </cell>
          <cell r="R75" t="str">
            <v>DESARROLLO Y FORTALECIMIENTO DE CAPACIDADES DE LAS ENTIDADES TERRITORIALES DE LA CIRCUNSCRIPCIÓN NACIONAL</v>
          </cell>
          <cell r="S75" t="str">
            <v>SSF</v>
          </cell>
          <cell r="T75" t="str">
            <v>15218-2018 22 Enero 2018</v>
          </cell>
          <cell r="U75" t="str">
            <v>N/A</v>
          </cell>
          <cell r="V75" t="str">
            <v>N/A</v>
          </cell>
          <cell r="W75" t="str">
            <v>N/A</v>
          </cell>
          <cell r="X75" t="str">
            <v>Siete (07) meses, contado a partir del perfeccionamiento del mismo y registro presupuestal.</v>
          </cell>
          <cell r="Y75">
            <v>43122</v>
          </cell>
          <cell r="Z75">
            <v>43333</v>
          </cell>
          <cell r="AA75">
            <v>211</v>
          </cell>
          <cell r="AB75" t="str">
            <v xml:space="preserve"> </v>
          </cell>
          <cell r="AC75">
            <v>43333</v>
          </cell>
          <cell r="AD75" t="str">
            <v>ALEJANDRO BECKER ROJAS</v>
          </cell>
          <cell r="AE75" t="str">
            <v xml:space="preserve">DIRECCION DE DESARROLLO ORGANIZACIONAL  </v>
          </cell>
          <cell r="AF75"/>
          <cell r="AG75"/>
          <cell r="AH75"/>
          <cell r="AI75"/>
          <cell r="AJ75">
            <v>16.587677725118482</v>
          </cell>
          <cell r="AK75"/>
          <cell r="AL75" t="str">
            <v>16118</v>
          </cell>
        </row>
        <row r="76">
          <cell r="A76">
            <v>170</v>
          </cell>
          <cell r="B76" t="str">
            <v>075-2018</v>
          </cell>
          <cell r="C76" t="str">
            <v>ANA RAQUEL RODRIGUEZ RUIZ</v>
          </cell>
          <cell r="D76">
            <v>1</v>
          </cell>
          <cell r="E76" t="str">
            <v>C.C.</v>
          </cell>
          <cell r="F76">
            <v>41747151</v>
          </cell>
          <cell r="G76" t="str">
            <v>MUJER</v>
          </cell>
          <cell r="H76">
            <v>43115</v>
          </cell>
          <cell r="I76" t="str">
            <v>Prestar servicios profesionales a la Dirección de Desarrollo Organizacional de Función Pública, para apoyar la implementación de la Estrategia de Gestión Territorial, en las entidades de los municipios de los departamentos que le sean asignados.</v>
          </cell>
          <cell r="J76" t="str">
            <v>CONTRATACIÓN DIRECTA</v>
          </cell>
          <cell r="K76" t="str">
            <v>PRESTACION DE SERVICIOS PROFESIONALES</v>
          </cell>
          <cell r="L76" t="str">
            <v xml:space="preserve">(8) $ 9.000.000                        </v>
          </cell>
          <cell r="M76">
            <v>72000000</v>
          </cell>
          <cell r="N76"/>
          <cell r="O76">
            <v>72000000</v>
          </cell>
          <cell r="P76" t="str">
            <v>Ocho (8) mensualidades vencidas, cada una por valor de NUEVE MILLONES DE PESOS ($9’000.000) M/CTE.</v>
          </cell>
          <cell r="Q76" t="str">
            <v>14118  2018 11 Enero 2018</v>
          </cell>
          <cell r="R76" t="str">
            <v>DESARROLLO Y FORTALECIMIENTO DE CAPACIDADES DE LAS ENTIDADES TERRITORIALES DE LA CIRCUNSCRIPCIÓN NACIONAL</v>
          </cell>
          <cell r="S76" t="str">
            <v>SSF</v>
          </cell>
          <cell r="T76" t="str">
            <v>15318-2018 22 Enero 2018</v>
          </cell>
          <cell r="U76" t="str">
            <v>N/A</v>
          </cell>
          <cell r="V76" t="str">
            <v>N/A</v>
          </cell>
          <cell r="W76" t="str">
            <v>N/A</v>
          </cell>
          <cell r="X76" t="str">
            <v>Ocho (8) meses, contados a partir del perfeccionamiento del mismo y registro presupuestal.</v>
          </cell>
          <cell r="Y76">
            <v>43122</v>
          </cell>
          <cell r="Z76">
            <v>43364</v>
          </cell>
          <cell r="AA76">
            <v>242</v>
          </cell>
          <cell r="AB76" t="str">
            <v xml:space="preserve"> </v>
          </cell>
          <cell r="AC76">
            <v>43364</v>
          </cell>
          <cell r="AD76" t="str">
            <v>ALEJANDRO BECKER ROJAS</v>
          </cell>
          <cell r="AE76" t="str">
            <v xml:space="preserve">DIRECCION DE DESARROLLO ORGANIZACIONAL  </v>
          </cell>
          <cell r="AF76"/>
          <cell r="AG76"/>
          <cell r="AH76"/>
          <cell r="AI76"/>
          <cell r="AJ76">
            <v>14.46280991735537</v>
          </cell>
          <cell r="AK76"/>
          <cell r="AL76" t="str">
            <v>14118</v>
          </cell>
        </row>
        <row r="77">
          <cell r="A77">
            <v>121</v>
          </cell>
          <cell r="B77" t="str">
            <v>076-2018</v>
          </cell>
          <cell r="C77" t="str">
            <v>JUAN PABLO CAICEDO MONTAÑA</v>
          </cell>
          <cell r="D77">
            <v>1</v>
          </cell>
          <cell r="E77" t="str">
            <v>C.C.</v>
          </cell>
          <cell r="F77">
            <v>1020740417</v>
          </cell>
          <cell r="G77" t="str">
            <v>HOMBRE</v>
          </cell>
          <cell r="H77">
            <v>43115</v>
          </cell>
          <cell r="I77" t="str">
            <v xml:space="preserve">Prestar servicios profesionales en la Dirección General de Función Pública, para apoyar la elaboración y revisión de documentos institucionales relacionados con las metas, objetivos, planes, programas y proyectos y resultados de la Entidad. </v>
          </cell>
          <cell r="J77" t="str">
            <v>CONTRATACIÓN DIRECTA</v>
          </cell>
          <cell r="K77" t="str">
            <v>PRESTACION DE SERVICIOS PROFESIONALES</v>
          </cell>
          <cell r="L77" t="str">
            <v xml:space="preserve">(5) $ 2.000.000                        </v>
          </cell>
          <cell r="M77">
            <v>10000000</v>
          </cell>
          <cell r="N77"/>
          <cell r="O77">
            <v>10000000</v>
          </cell>
          <cell r="P77" t="str">
            <v>Cinco (5) mensualidades vencidas, cada una por valor de DOS MILLONES DE PESOS ($2’000.000) M/CTE.</v>
          </cell>
          <cell r="Q77" t="str">
            <v>9318  2018 11 Enero 2018</v>
          </cell>
          <cell r="R77" t="str">
            <v>IMPLEMENTACIÓN Y FORTALECIMIENTO DE LAS POLITICAS LIDERADAS POR FUNCION PUBLICA A NIVEL NACIONAL</v>
          </cell>
          <cell r="S77" t="str">
            <v>SSF</v>
          </cell>
          <cell r="T77" t="str">
            <v>8718-2018 16 Enero 2018</v>
          </cell>
          <cell r="U77" t="str">
            <v>N/A</v>
          </cell>
          <cell r="V77" t="str">
            <v>N/A</v>
          </cell>
          <cell r="W77" t="str">
            <v>N/A</v>
          </cell>
          <cell r="X77" t="str">
            <v>Cinco (05) meses, contado a partir del perfeccionamiento del mismo y registro presupuestal.</v>
          </cell>
          <cell r="Y77">
            <v>43116</v>
          </cell>
          <cell r="Z77">
            <v>43266</v>
          </cell>
          <cell r="AA77">
            <v>150</v>
          </cell>
          <cell r="AB77" t="str">
            <v xml:space="preserve"> </v>
          </cell>
          <cell r="AC77">
            <v>43266</v>
          </cell>
          <cell r="AD77" t="str">
            <v xml:space="preserve">ANDRÉS FELIPE SEGURA ARNAIZ </v>
          </cell>
          <cell r="AE77" t="str">
            <v>DIRECCION GENERAL</v>
          </cell>
          <cell r="AF77"/>
          <cell r="AG77"/>
          <cell r="AH77"/>
          <cell r="AI77"/>
          <cell r="AJ77">
            <v>27.333333333333332</v>
          </cell>
          <cell r="AK77"/>
          <cell r="AL77" t="str">
            <v xml:space="preserve">9318 </v>
          </cell>
        </row>
        <row r="78">
          <cell r="A78">
            <v>83</v>
          </cell>
          <cell r="B78" t="str">
            <v>077-2018</v>
          </cell>
          <cell r="C78" t="str">
            <v>JASMITH ADRIANA ROJAS MARTINEZ</v>
          </cell>
          <cell r="D78">
            <v>1</v>
          </cell>
          <cell r="E78" t="str">
            <v>C.C.</v>
          </cell>
          <cell r="F78">
            <v>51993018</v>
          </cell>
          <cell r="G78" t="str">
            <v>MUJER</v>
          </cell>
          <cell r="H78">
            <v>43115</v>
          </cell>
          <cell r="I78" t="str">
            <v>Prestar servicios en la Dirección de Empleo Público de Función Pública para apoyar en la elaboración y actualización de los instrumentos técnicos para el desarrollo e implementación de la Política de Empleo Público y Gestión Estrategica del Tlento Humano; así como en la implementación y desarrollo de los diplomados en Alta Dirección del Estado.</v>
          </cell>
          <cell r="J78" t="str">
            <v>CONTRATACIÓN DIRECTA</v>
          </cell>
          <cell r="K78" t="str">
            <v>PRESTACION DE SERVICIOS PROFESIONALES</v>
          </cell>
          <cell r="L78" t="str">
            <v xml:space="preserve">(5) $ 2.000.000                        </v>
          </cell>
          <cell r="M78">
            <v>40000000</v>
          </cell>
          <cell r="N78"/>
          <cell r="O78">
            <v>40000000</v>
          </cell>
          <cell r="P78" t="str">
            <v>Cinco (5) mensualidades vencidas, cada una por valor de OCHO MILLONES DE PESOS ($8’000.000) M/CTE.</v>
          </cell>
          <cell r="Q78" t="str">
            <v>4318  2018 04 Enero 2018</v>
          </cell>
          <cell r="R78" t="str">
            <v>IMPLEMENTACIÓN Y FORTALECIMIENTO DE LAS POLITICAS LIDERADAS POR FUNCION PUBLICA A NIVEL NACIONAL</v>
          </cell>
          <cell r="S78" t="str">
            <v>CSF</v>
          </cell>
          <cell r="T78" t="str">
            <v>9518-2018 17 Enero 2018</v>
          </cell>
          <cell r="U78" t="str">
            <v>N/A</v>
          </cell>
          <cell r="V78" t="str">
            <v>N/A</v>
          </cell>
          <cell r="W78" t="str">
            <v>N/A</v>
          </cell>
          <cell r="X78" t="str">
            <v>Cinco (05) meses, contado a partir del perfeccionamiento del mismo y registro presupuestal.</v>
          </cell>
          <cell r="Y78">
            <v>43117</v>
          </cell>
          <cell r="Z78">
            <v>43267</v>
          </cell>
          <cell r="AA78">
            <v>150</v>
          </cell>
          <cell r="AB78" t="str">
            <v xml:space="preserve"> </v>
          </cell>
          <cell r="AC78">
            <v>43267</v>
          </cell>
          <cell r="AD78" t="str">
            <v>FRANCISCO ALFONSO CAMARGO SALAS</v>
          </cell>
          <cell r="AE78" t="str">
            <v>DIRECCION DE EMPLEO PUBLICO</v>
          </cell>
          <cell r="AF78"/>
          <cell r="AG78"/>
          <cell r="AH78"/>
          <cell r="AI78"/>
          <cell r="AJ78">
            <v>26.666666666666668</v>
          </cell>
          <cell r="AK78"/>
          <cell r="AL78" t="str">
            <v xml:space="preserve">4318 </v>
          </cell>
        </row>
        <row r="79">
          <cell r="A79">
            <v>140</v>
          </cell>
          <cell r="B79" t="str">
            <v>078-2018</v>
          </cell>
          <cell r="C79" t="str">
            <v>YENNY STELLA CHACÓN SANTAMARIA</v>
          </cell>
          <cell r="D79">
            <v>1</v>
          </cell>
          <cell r="E79" t="str">
            <v>C.C.</v>
          </cell>
          <cell r="F79">
            <v>52227643</v>
          </cell>
          <cell r="G79" t="str">
            <v>MUJER</v>
          </cell>
          <cell r="H79">
            <v>43115</v>
          </cell>
          <cell r="I79" t="str">
            <v>Prestar servicios profesionales en el Grupo de Servicio al Ciudadano Institucional de Función Pública para apoyar la atención a los grupos de valor en el primer nivel de servicio de la Entidad.</v>
          </cell>
          <cell r="J79" t="str">
            <v>CONTRATACIÓN DIRECTA</v>
          </cell>
          <cell r="K79" t="str">
            <v>PRESTACION DE SERVICIOS PROFESIONALES</v>
          </cell>
          <cell r="L79" t="str">
            <v xml:space="preserve">(8) $ 3.895.000                        </v>
          </cell>
          <cell r="M79">
            <v>31160000</v>
          </cell>
          <cell r="N79"/>
          <cell r="O79">
            <v>31160000</v>
          </cell>
          <cell r="P79" t="str">
            <v>Ocho (8) mensualidades vencidas, cada una por valor de TRES MILLONES OCHOCIENTOS NOVENTA Y CINCO MIL PESOS ($3.895.000) M/CTE</v>
          </cell>
          <cell r="Q79" t="str">
            <v>1218  2018 11 Enero 2018</v>
          </cell>
          <cell r="R79" t="str">
            <v>IMPLEMENTACIÓN Y FORTALECIMIENTO DE LAS POLITICAS LIDERADAS POR FUNCION PUBLICA A NIVEL NACIONAL</v>
          </cell>
          <cell r="S79" t="str">
            <v>SSF</v>
          </cell>
          <cell r="T79" t="str">
            <v>8818-2018 16 Enero 2018</v>
          </cell>
          <cell r="U79" t="str">
            <v>N/A</v>
          </cell>
          <cell r="V79" t="str">
            <v>N/A</v>
          </cell>
          <cell r="W79" t="str">
            <v>N/A</v>
          </cell>
          <cell r="X79" t="str">
            <v>Ocho (8) meses, contados a partir del perfeccionamiento del mismo y registro presupuestal.</v>
          </cell>
          <cell r="Y79">
            <v>43116</v>
          </cell>
          <cell r="Z79">
            <v>43358</v>
          </cell>
          <cell r="AA79">
            <v>242</v>
          </cell>
          <cell r="AB79" t="str">
            <v xml:space="preserve"> </v>
          </cell>
          <cell r="AC79">
            <v>43358</v>
          </cell>
          <cell r="AD79" t="str">
            <v>JAIME HUMBERTO JIMENEZ VERGEL</v>
          </cell>
          <cell r="AE79" t="str">
            <v>GRUPO DE SERVICIO AL CIUDADANO INSTITUCIONAL</v>
          </cell>
          <cell r="AF79"/>
          <cell r="AG79"/>
          <cell r="AH79"/>
          <cell r="AI79"/>
          <cell r="AJ79">
            <v>16.942148760330578</v>
          </cell>
          <cell r="AK79"/>
          <cell r="AL79" t="str">
            <v xml:space="preserve">1218 </v>
          </cell>
        </row>
        <row r="80">
          <cell r="A80">
            <v>129</v>
          </cell>
          <cell r="B80" t="str">
            <v>079-2018</v>
          </cell>
          <cell r="C80" t="str">
            <v>CLAUDIA PATRICIA DIAZ BAQUERO</v>
          </cell>
          <cell r="D80">
            <v>1</v>
          </cell>
          <cell r="E80" t="str">
            <v>C.C.</v>
          </cell>
          <cell r="F80">
            <v>51942683</v>
          </cell>
          <cell r="G80" t="str">
            <v>MUJER</v>
          </cell>
          <cell r="H80">
            <v>43115</v>
          </cell>
          <cell r="I80" t="str">
            <v>Prestar servicios profesionales en la Dirección de Participación, Transparencia y Servicio al Ciudadano de Función Pública, para apoyar la implementación y seguimiento a las iniciativas de simplificación de reportes, que las entidades territoriales deban presentar a las entidades nacionales.</v>
          </cell>
          <cell r="J80" t="str">
            <v>CONTRATACIÓN DIRECTA</v>
          </cell>
          <cell r="K80" t="str">
            <v>PRESTACION DE SERVICIOS PROFESIONALES</v>
          </cell>
          <cell r="L80" t="str">
            <v xml:space="preserve">(8) $ 6.000.000                        </v>
          </cell>
          <cell r="M80">
            <v>48000000</v>
          </cell>
          <cell r="N80"/>
          <cell r="O80">
            <v>48000000</v>
          </cell>
          <cell r="P80" t="str">
            <v>Ocho (8) mensualidades vencidas, cada una por valor de SEIS MILLONES DE PESOS ($6’000.000) M/CTE.</v>
          </cell>
          <cell r="Q80" t="str">
            <v>1018  2018 11 Enero 2018</v>
          </cell>
          <cell r="R80" t="str">
            <v>IMPLEMENTACIÓN Y FORTALECIMIENTO DE LAS POLITICAS LIDERADAS POR FUNCION PUBLICA A NIVEL NACIONAL</v>
          </cell>
          <cell r="S80" t="str">
            <v>SSF</v>
          </cell>
          <cell r="T80" t="str">
            <v>10718-2018 18 Enero 2018</v>
          </cell>
          <cell r="U80" t="str">
            <v>N/A</v>
          </cell>
          <cell r="V80" t="str">
            <v>N/A</v>
          </cell>
          <cell r="W80" t="str">
            <v>N/A</v>
          </cell>
          <cell r="X80" t="str">
            <v>Ocho (8) meses, contados a partir del perfeccionamiento del mismo y registro presupuestal.</v>
          </cell>
          <cell r="Y80">
            <v>43118</v>
          </cell>
          <cell r="Z80">
            <v>43360</v>
          </cell>
          <cell r="AA80">
            <v>242</v>
          </cell>
          <cell r="AB80" t="str">
            <v xml:space="preserve"> </v>
          </cell>
          <cell r="AC80">
            <v>43360</v>
          </cell>
          <cell r="AD80" t="str">
            <v xml:space="preserve">LINA MARIA MONCALEANO CUELLAR </v>
          </cell>
          <cell r="AE80" t="str">
            <v>DIRECCION DE PARTICIPACION, TRANSPARENCIA Y SERVICIO AL CIUDADANO</v>
          </cell>
          <cell r="AF80"/>
          <cell r="AG80"/>
          <cell r="AH80"/>
          <cell r="AI80"/>
          <cell r="AJ80">
            <v>16.115702479338843</v>
          </cell>
          <cell r="AK80"/>
          <cell r="AL80" t="str">
            <v xml:space="preserve">1018 </v>
          </cell>
        </row>
        <row r="81">
          <cell r="A81">
            <v>139</v>
          </cell>
          <cell r="B81" t="str">
            <v>080-2018</v>
          </cell>
          <cell r="C81" t="str">
            <v>JUAN PABLO ROJAS MESA</v>
          </cell>
          <cell r="D81">
            <v>1</v>
          </cell>
          <cell r="E81" t="str">
            <v>C.C.</v>
          </cell>
          <cell r="F81">
            <v>80227517</v>
          </cell>
          <cell r="G81" t="str">
            <v>HOMBRE</v>
          </cell>
          <cell r="H81">
            <v>43115</v>
          </cell>
          <cell r="I81" t="str">
            <v>Prestar servicios profesionales en el Grupo de Servicio al Ciudadano Institucional de Función Pública para apoyar la atención a los grupos de valor en el primer nivel de servicio de la Entidad.</v>
          </cell>
          <cell r="J81" t="str">
            <v>CONTRATACIÓN DIRECTA</v>
          </cell>
          <cell r="K81" t="str">
            <v>PRESTACION DE SERVICIOS PROFESIONALES</v>
          </cell>
          <cell r="L81" t="str">
            <v xml:space="preserve">(8) $ 3.895.000                        </v>
          </cell>
          <cell r="M81">
            <v>31160000</v>
          </cell>
          <cell r="N81"/>
          <cell r="O81">
            <v>31160000</v>
          </cell>
          <cell r="P81" t="str">
            <v>Ocho (8) mensualidades vencidas, cada una por valor de TRES MILLONES OCHOCIENTOS NOVENTA Y CINCO MIL PESOS ($3.895.000) M/CTE</v>
          </cell>
          <cell r="Q81" t="str">
            <v>11118  2018 11 Enero 2018</v>
          </cell>
          <cell r="R81" t="str">
            <v>IMPLEMENTACIÓN Y FORTALECIMIENTO DE LAS POLITICAS LIDERADAS POR FUNCION PUBLICA A NIVEL NACIONAL</v>
          </cell>
          <cell r="S81" t="str">
            <v>SSF</v>
          </cell>
          <cell r="T81" t="str">
            <v>9718-2018 17 Enero 2018</v>
          </cell>
          <cell r="U81" t="str">
            <v>N/A</v>
          </cell>
          <cell r="V81" t="str">
            <v>N/A</v>
          </cell>
          <cell r="W81" t="str">
            <v>N/A</v>
          </cell>
          <cell r="X81" t="str">
            <v>Ocho (8) meses, contados a partir del perfeccionamiento del mismo y registro presupuestal.</v>
          </cell>
          <cell r="Y81">
            <v>43117</v>
          </cell>
          <cell r="Z81">
            <v>43359</v>
          </cell>
          <cell r="AA81">
            <v>242</v>
          </cell>
          <cell r="AB81" t="str">
            <v xml:space="preserve"> </v>
          </cell>
          <cell r="AC81">
            <v>43359</v>
          </cell>
          <cell r="AD81" t="str">
            <v>JAIME HUMBERTO JIMENEZ VERGEL</v>
          </cell>
          <cell r="AE81" t="str">
            <v>GRUPO DE SERVICIO AL CIUDADANO INSTITUCIONAL</v>
          </cell>
          <cell r="AF81"/>
          <cell r="AG81"/>
          <cell r="AH81"/>
          <cell r="AI81"/>
          <cell r="AJ81">
            <v>16.528925619834713</v>
          </cell>
          <cell r="AK81"/>
          <cell r="AL81" t="str">
            <v>11118</v>
          </cell>
        </row>
        <row r="82">
          <cell r="A82">
            <v>151</v>
          </cell>
          <cell r="B82" t="str">
            <v>081-2018</v>
          </cell>
          <cell r="C82" t="str">
            <v>OSCAR MANUEL RODRIGUEZ NIÑO</v>
          </cell>
          <cell r="D82">
            <v>1</v>
          </cell>
          <cell r="E82" t="str">
            <v>C.C.</v>
          </cell>
          <cell r="F82">
            <v>1033694932</v>
          </cell>
          <cell r="G82" t="str">
            <v>HOMBRE</v>
          </cell>
          <cell r="H82">
            <v>43115</v>
          </cell>
          <cell r="I82" t="str">
            <v>Prestar servicios profesionales en la Dirección de Gestión y Desempeño Institucional de Función Pública para apoyar las gestiones relacionadas con el Banco de Éxitos y la convocatoria al Premio Nacional de Alta Gerencia versión 2018.</v>
          </cell>
          <cell r="J82" t="str">
            <v>CONTRATACIÓN DIRECTA</v>
          </cell>
          <cell r="K82" t="str">
            <v>PRESTACION DE SERVICIOS PROFESIONALES</v>
          </cell>
          <cell r="L82" t="str">
            <v xml:space="preserve">(8) $ 3.673.000                        </v>
          </cell>
          <cell r="M82">
            <v>29384000</v>
          </cell>
          <cell r="N82"/>
          <cell r="O82">
            <v>29384000</v>
          </cell>
          <cell r="P82" t="str">
            <v>Ocho (8) mensualidades vencidas, cada una por valor de TRES MILLONES SEISCIENTOS SETENTA Y TRES MIL PESOS ($3.673.000) M/CTE.</v>
          </cell>
          <cell r="Q82" t="str">
            <v>12218  2018 11 Enero 2018</v>
          </cell>
          <cell r="R82" t="str">
            <v>IMPLEMENTACIÓN Y FORTALECIMIENTO DE LAS POLITICAS LIDERADAS POR FUNCION PUBLICA A NIVEL NACIONAL</v>
          </cell>
          <cell r="S82" t="str">
            <v>SSF</v>
          </cell>
          <cell r="T82" t="str">
            <v>9818-2018 17 Enero 2018</v>
          </cell>
          <cell r="U82" t="str">
            <v>N/A</v>
          </cell>
          <cell r="V82" t="str">
            <v>N/A</v>
          </cell>
          <cell r="W82" t="str">
            <v>N/A</v>
          </cell>
          <cell r="X82" t="str">
            <v>Ocho (8) meses, contados a partir del perfeccionamiento del mismo y registro presupuestal.</v>
          </cell>
          <cell r="Y82">
            <v>43117</v>
          </cell>
          <cell r="Z82">
            <v>43359</v>
          </cell>
          <cell r="AA82">
            <v>242</v>
          </cell>
          <cell r="AB82" t="str">
            <v xml:space="preserve"> </v>
          </cell>
          <cell r="AC82">
            <v>43359</v>
          </cell>
          <cell r="AD82" t="str">
            <v xml:space="preserve">MARÍA DEL PILAR GARCÍA GONZÁLEZ   </v>
          </cell>
          <cell r="AE82" t="str">
            <v>DIRECCION DE GESTION Y DESEMPEÑO INSTITUCIONAL</v>
          </cell>
          <cell r="AF82"/>
          <cell r="AG82"/>
          <cell r="AH82"/>
          <cell r="AI82"/>
          <cell r="AJ82">
            <v>16.528925619834713</v>
          </cell>
          <cell r="AK82"/>
          <cell r="AL82" t="str">
            <v>12218</v>
          </cell>
        </row>
        <row r="83">
          <cell r="A83">
            <v>145</v>
          </cell>
          <cell r="B83" t="str">
            <v>082-2018</v>
          </cell>
          <cell r="C83" t="str">
            <v>EDUARDO PRADA VELASQUEZ</v>
          </cell>
          <cell r="D83">
            <v>1</v>
          </cell>
          <cell r="E83" t="str">
            <v>C.C.</v>
          </cell>
          <cell r="F83">
            <v>79694373</v>
          </cell>
          <cell r="G83" t="str">
            <v>HOMBRE</v>
          </cell>
          <cell r="H83">
            <v>43116</v>
          </cell>
          <cell r="I83" t="str">
            <v>Prestar servicios profesionales en la Dirección de Empleo Público de Función Pública para apoyar las actividades conducentes a la implementación de las competencias laborales, así como en la elaboración de la propuesta de creación y funcionamiento del Sistema Nacional de Cualificaciones en el marco de la Comisión Intersectorial para la Gestión del Recurso Humano (CIGERH).</v>
          </cell>
          <cell r="J83" t="str">
            <v>CONTRATACIÓN DIRECTA</v>
          </cell>
          <cell r="K83" t="str">
            <v>PRESTACION DE SERVICIOS PROFESIONALES</v>
          </cell>
          <cell r="L83" t="str">
            <v xml:space="preserve">(6) $ 6.500.000                        </v>
          </cell>
          <cell r="M83">
            <v>39000000</v>
          </cell>
          <cell r="N83"/>
          <cell r="O83">
            <v>39000000</v>
          </cell>
          <cell r="P83" t="str">
            <v>Seis (6) mensualidades vencidas, cada una por valor de SEIS MILLONES QUINIENTOS MIL PESOS ($6’500.000) M/CTE.</v>
          </cell>
          <cell r="Q83" t="str">
            <v>11618  2018 11 Enero 2018</v>
          </cell>
          <cell r="R83" t="str">
            <v>IMPLEMENTACIÓN Y FORTALECIMIENTO DE LAS POLITICAS LIDERADAS POR FUNCION PUBLICA A NIVEL NACIONAL</v>
          </cell>
          <cell r="S83" t="str">
            <v>SSF</v>
          </cell>
          <cell r="T83" t="str">
            <v>10818-2018 18 Enero 2018</v>
          </cell>
          <cell r="U83" t="str">
            <v>N/A</v>
          </cell>
          <cell r="V83" t="str">
            <v>N/A</v>
          </cell>
          <cell r="W83" t="str">
            <v>N/A</v>
          </cell>
          <cell r="X83" t="str">
            <v>Seis (6) meses, contados a partir del perfeccionamiento del mismo y registro presupuestal.</v>
          </cell>
          <cell r="Y83">
            <v>43118</v>
          </cell>
          <cell r="Z83">
            <v>43298</v>
          </cell>
          <cell r="AA83">
            <v>180</v>
          </cell>
          <cell r="AB83" t="str">
            <v xml:space="preserve"> </v>
          </cell>
          <cell r="AC83">
            <v>43298</v>
          </cell>
          <cell r="AD83" t="str">
            <v xml:space="preserve">JIMMY ALEJANDRO ESCOBAR CASTRO </v>
          </cell>
          <cell r="AE83" t="str">
            <v>DIRECCION DE EMPLEO PUBLICO</v>
          </cell>
          <cell r="AF83"/>
          <cell r="AG83"/>
          <cell r="AH83"/>
          <cell r="AI83"/>
          <cell r="AJ83">
            <v>21.666666666666668</v>
          </cell>
          <cell r="AK83"/>
          <cell r="AL83" t="str">
            <v>11618</v>
          </cell>
        </row>
        <row r="84">
          <cell r="A84">
            <v>143</v>
          </cell>
          <cell r="B84" t="str">
            <v>083-2018</v>
          </cell>
          <cell r="C84" t="str">
            <v>JUAN MAURICIO CORNEJO RODRIGUEZ</v>
          </cell>
          <cell r="D84">
            <v>1</v>
          </cell>
          <cell r="E84" t="str">
            <v>C.C.</v>
          </cell>
          <cell r="F84">
            <v>79432063</v>
          </cell>
          <cell r="G84" t="str">
            <v>HOMBRE</v>
          </cell>
          <cell r="H84">
            <v>43116</v>
          </cell>
          <cell r="I84" t="str">
            <v>Prestar servicios profesionales en la Oficina de Control Interno de Función Pública, para apoyar la ejecución del plan de auditorías internas y seguimientos a la gestión institucional programados para la vigencia 2018.</v>
          </cell>
          <cell r="J84" t="str">
            <v>CONTRATACIÓN DIRECTA</v>
          </cell>
          <cell r="K84" t="str">
            <v>PRESTACION DE SERVICIOS PROFESIONALES</v>
          </cell>
          <cell r="L84" t="str">
            <v xml:space="preserve">(8) $ 5.231.000                        </v>
          </cell>
          <cell r="M84">
            <v>41848000</v>
          </cell>
          <cell r="N84"/>
          <cell r="O84">
            <v>41848000</v>
          </cell>
          <cell r="P84" t="str">
            <v>Ocho (8) mensualidades vencidas, cada una por valor de CINCO MILLONES DOSCIENTOS TREINTA Y UN MIL PESOS ($5’231.000) M/CTE.</v>
          </cell>
          <cell r="Q84" t="str">
            <v>11518  2018 11 Enero 2018</v>
          </cell>
          <cell r="R84" t="str">
            <v>IMPLEMENTACIÓN Y FORTALECIMIENTO DE LAS POLITICAS LIDERADAS POR FUNCION PUBLICA A NIVEL NACIONAL</v>
          </cell>
          <cell r="S84" t="str">
            <v>SSF</v>
          </cell>
          <cell r="T84" t="str">
            <v>11218-2018 18 Enero 2018</v>
          </cell>
          <cell r="U84" t="str">
            <v>N/A</v>
          </cell>
          <cell r="V84" t="str">
            <v>N/A</v>
          </cell>
          <cell r="W84" t="str">
            <v>N/A</v>
          </cell>
          <cell r="X84" t="str">
            <v>Ocho (8) meses, contados a partir del perfeccionamiento del mismo y registro presupuestal.</v>
          </cell>
          <cell r="Y84">
            <v>43118</v>
          </cell>
          <cell r="Z84">
            <v>43360</v>
          </cell>
          <cell r="AA84">
            <v>242</v>
          </cell>
          <cell r="AB84" t="str">
            <v xml:space="preserve"> </v>
          </cell>
          <cell r="AC84">
            <v>43360</v>
          </cell>
          <cell r="AD84" t="str">
            <v>LUZ STELLA PATIÑO JURADO</v>
          </cell>
          <cell r="AE84" t="str">
            <v>OFICINA DE CONTROL INTERNO</v>
          </cell>
          <cell r="AF84"/>
          <cell r="AG84"/>
          <cell r="AH84"/>
          <cell r="AI84"/>
          <cell r="AJ84">
            <v>16.115702479338843</v>
          </cell>
          <cell r="AK84"/>
          <cell r="AL84" t="str">
            <v>11518</v>
          </cell>
        </row>
        <row r="85">
          <cell r="A85">
            <v>146</v>
          </cell>
          <cell r="B85" t="str">
            <v>084-2018</v>
          </cell>
          <cell r="C85" t="str">
            <v>RAFAEL ANTONIO GARCIA RODRIGUEZ</v>
          </cell>
          <cell r="D85">
            <v>1</v>
          </cell>
          <cell r="E85" t="str">
            <v>C.C.</v>
          </cell>
          <cell r="F85">
            <v>79159216</v>
          </cell>
          <cell r="G85" t="str">
            <v>HOMBRE</v>
          </cell>
          <cell r="H85">
            <v>43116</v>
          </cell>
          <cell r="I85" t="str">
            <v>Prestar servicios profesionales en la Subdirección de Función Pública, para apoyar el fortalecimiento del uso y apropiación del Costumer Relationship Management (CRM) y su implementación en las areas técnicas, misionales y de apoyo de la Entidad.</v>
          </cell>
          <cell r="J85" t="str">
            <v>CONTRATACIÓN DIRECTA</v>
          </cell>
          <cell r="K85" t="str">
            <v>PRESTACION DE SERVICIOS PROFESIONALES</v>
          </cell>
          <cell r="L85" t="str">
            <v xml:space="preserve">(8) $ 8.000.000                        </v>
          </cell>
          <cell r="M85">
            <v>64000000</v>
          </cell>
          <cell r="N85"/>
          <cell r="O85">
            <v>64000000</v>
          </cell>
          <cell r="P85" t="str">
            <v>Ocho (8) mensualidades vencidas, cada una por valor de OCHO MILLONES DE PESOS ($8’000.000) M/CTE.</v>
          </cell>
          <cell r="Q85" t="str">
            <v>11718  2018 11 Enero 2018</v>
          </cell>
          <cell r="R85" t="str">
            <v>IMPLEMENTACIÓN Y FORTALECIMIENTO DE LAS POLITICAS LIDERADAS POR FUNCION PUBLICA A NIVEL NACIONAL</v>
          </cell>
          <cell r="S85" t="str">
            <v>SSF</v>
          </cell>
          <cell r="T85" t="str">
            <v>9918-2018 17 Enero 2018</v>
          </cell>
          <cell r="U85" t="str">
            <v>N/A</v>
          </cell>
          <cell r="V85" t="str">
            <v>N/A</v>
          </cell>
          <cell r="W85" t="str">
            <v>N/A</v>
          </cell>
          <cell r="X85" t="str">
            <v>Ocho (8) meses, contados a partir del perfeccionamiento del mismo y registro presupuestal.</v>
          </cell>
          <cell r="Y85">
            <v>43117</v>
          </cell>
          <cell r="Z85">
            <v>43359</v>
          </cell>
          <cell r="AA85">
            <v>242</v>
          </cell>
          <cell r="AB85" t="str">
            <v xml:space="preserve"> </v>
          </cell>
          <cell r="AC85">
            <v>43359</v>
          </cell>
          <cell r="AD85" t="str">
            <v xml:space="preserve">FERNANDO AUGUSTO MEDINA GUTIERREZ </v>
          </cell>
          <cell r="AE85" t="str">
            <v>SUBDIRECCIÓN</v>
          </cell>
          <cell r="AF85"/>
          <cell r="AG85"/>
          <cell r="AH85"/>
          <cell r="AI85"/>
          <cell r="AJ85">
            <v>16.528925619834713</v>
          </cell>
          <cell r="AK85"/>
          <cell r="AL85" t="str">
            <v>11718</v>
          </cell>
        </row>
        <row r="86">
          <cell r="A86">
            <v>168</v>
          </cell>
          <cell r="B86" t="str">
            <v>085-2018</v>
          </cell>
          <cell r="C86" t="str">
            <v>LINA MARIA PADILLA SAIBIS</v>
          </cell>
          <cell r="D86">
            <v>1</v>
          </cell>
          <cell r="E86" t="str">
            <v>C.C.</v>
          </cell>
          <cell r="F86">
            <v>30687141</v>
          </cell>
          <cell r="G86" t="str">
            <v>MUJER</v>
          </cell>
          <cell r="H86">
            <v>43116</v>
          </cell>
          <cell r="I86" t="str">
            <v xml:space="preserve">Prestar servicios profesionales a la Dirección de Desarrollo Organizacional, para apoyar la implementación de la Estrategia de Gestión Territorial, en departamentos de difícil acceso y condiciones geográficas complejas. </v>
          </cell>
          <cell r="J86" t="str">
            <v>CONTRATACIÓN DIRECTA</v>
          </cell>
          <cell r="K86" t="str">
            <v>PRESTACION DE SERVICIOS PROFESIONALES</v>
          </cell>
          <cell r="L86" t="str">
            <v xml:space="preserve">(8) $ 10.000.000                        </v>
          </cell>
          <cell r="M86">
            <v>80000000</v>
          </cell>
          <cell r="N86"/>
          <cell r="O86">
            <v>80000000</v>
          </cell>
          <cell r="P86" t="str">
            <v>Ocho mensualidades vencidas, cada una por valor de DIEZ MILLONES DE PESOS ($10’000.000) M/CTE.</v>
          </cell>
          <cell r="Q86" t="str">
            <v>13918  2018 11 Enero 2018</v>
          </cell>
          <cell r="R86" t="str">
            <v>DESARROLLO Y FORTALECIMIENTO DE CAPACIDADES DE LAS ENTIDADES TERRITORIALES DE LA CIRCUNSCRIPCIÓN NACIONAL</v>
          </cell>
          <cell r="S86" t="str">
            <v>SSF</v>
          </cell>
          <cell r="T86" t="str">
            <v>15418-2018 22 Enero 2018</v>
          </cell>
          <cell r="U86" t="str">
            <v>N/A</v>
          </cell>
          <cell r="V86" t="str">
            <v>N/A</v>
          </cell>
          <cell r="W86" t="str">
            <v>N/A</v>
          </cell>
          <cell r="X86" t="str">
            <v>Ocho (8) meses, contados a partir del perfeccionamiento del mismo y registro presupuestal.</v>
          </cell>
          <cell r="Y86">
            <v>43122</v>
          </cell>
          <cell r="Z86">
            <v>43364</v>
          </cell>
          <cell r="AA86">
            <v>242</v>
          </cell>
          <cell r="AB86" t="str">
            <v xml:space="preserve"> </v>
          </cell>
          <cell r="AC86">
            <v>43364</v>
          </cell>
          <cell r="AD86" t="str">
            <v>ALEJANDRO BECKER ROJAS</v>
          </cell>
          <cell r="AE86" t="str">
            <v xml:space="preserve">DIRECCION DE DESARROLLO ORGANIZACIONAL  </v>
          </cell>
          <cell r="AF86"/>
          <cell r="AG86"/>
          <cell r="AH86"/>
          <cell r="AI86"/>
          <cell r="AJ86">
            <v>14.46280991735537</v>
          </cell>
          <cell r="AK86"/>
          <cell r="AL86" t="str">
            <v>13918</v>
          </cell>
        </row>
        <row r="87">
          <cell r="A87">
            <v>169</v>
          </cell>
          <cell r="B87" t="str">
            <v>086-2018</v>
          </cell>
          <cell r="C87" t="str">
            <v>HAROLD EDUARDO BENAVIDES OSEJO</v>
          </cell>
          <cell r="D87">
            <v>1</v>
          </cell>
          <cell r="E87" t="str">
            <v>C.C.</v>
          </cell>
          <cell r="F87">
            <v>13062968</v>
          </cell>
          <cell r="G87" t="str">
            <v>HOMBRE</v>
          </cell>
          <cell r="H87">
            <v>43116</v>
          </cell>
          <cell r="I87" t="str">
            <v>Prestar servicios profesionales a la Dirección de Desarrollo Organizacional de Función Pública, para apoyar la implementación de la Estrategia de Gestión Territorial, en las entidades de los municipios de los departamentos que le sean asignados.</v>
          </cell>
          <cell r="J87" t="str">
            <v>CONTRATACIÓN DIRECTA</v>
          </cell>
          <cell r="K87" t="str">
            <v>PRESTACION DE SERVICIOS PROFESIONALES</v>
          </cell>
          <cell r="L87" t="str">
            <v xml:space="preserve">(8) $ 9.000.000                        </v>
          </cell>
          <cell r="M87">
            <v>72000000</v>
          </cell>
          <cell r="N87"/>
          <cell r="O87">
            <v>72000000</v>
          </cell>
          <cell r="P87" t="str">
            <v>Ocho (8) mensualidades vencidas, cada una por valor de NUEVE MILLONES DE PESOS ($9’000.000) M/CTE.</v>
          </cell>
          <cell r="Q87" t="str">
            <v>14018  2018 11 Enero 2018</v>
          </cell>
          <cell r="R87" t="str">
            <v>DESARROLLO Y FORTALECIMIENTO DE CAPACIDADES DE LAS ENTIDADES TERRITORIALES DE LA CIRCUNSCRIPCIÓN NACIONAL</v>
          </cell>
          <cell r="S87" t="str">
            <v>SSF</v>
          </cell>
          <cell r="T87" t="str">
            <v>15518-2018 22 Enero 2018</v>
          </cell>
          <cell r="U87" t="str">
            <v>N/A</v>
          </cell>
          <cell r="V87" t="str">
            <v>N/A</v>
          </cell>
          <cell r="W87" t="str">
            <v>N/A</v>
          </cell>
          <cell r="X87" t="str">
            <v>Ocho (8) meses, contados a partir del perfeccionamiento del mismo y registro presupuestal.</v>
          </cell>
          <cell r="Y87">
            <v>43122</v>
          </cell>
          <cell r="Z87">
            <v>43364</v>
          </cell>
          <cell r="AA87">
            <v>242</v>
          </cell>
          <cell r="AB87" t="str">
            <v xml:space="preserve"> </v>
          </cell>
          <cell r="AC87">
            <v>43364</v>
          </cell>
          <cell r="AD87" t="str">
            <v>ALEJANDRO BECKER ROJAS</v>
          </cell>
          <cell r="AE87" t="str">
            <v xml:space="preserve">DIRECCION DE DESARROLLO ORGANIZACIONAL  </v>
          </cell>
          <cell r="AF87"/>
          <cell r="AG87"/>
          <cell r="AH87"/>
          <cell r="AI87"/>
          <cell r="AJ87">
            <v>14.46280991735537</v>
          </cell>
          <cell r="AK87"/>
          <cell r="AL87" t="str">
            <v>14018</v>
          </cell>
        </row>
        <row r="88">
          <cell r="A88">
            <v>62</v>
          </cell>
          <cell r="B88" t="str">
            <v>087-2018</v>
          </cell>
          <cell r="C88" t="str">
            <v>JUAN PABLO CENDALES 
RODRIGUEZ</v>
          </cell>
          <cell r="D88">
            <v>1</v>
          </cell>
          <cell r="E88" t="str">
            <v>C.C.</v>
          </cell>
          <cell r="F88">
            <v>1030548888</v>
          </cell>
          <cell r="G88" t="str">
            <v>HOMBRE</v>
          </cell>
          <cell r="H88">
            <v>43116</v>
          </cell>
          <cell r="I88" t="str">
            <v>Prestar servicios profesionales en el Grupo de Gestión Financiera de Función Pública, para apoyar el desarrollo de las actividades requeridas en la implementación del nuevo marco normativo para entidades de Gobierno, aplicable a partir del 1° de enero de 2018, de conformidad con las directrices impartidas por la Contaduría General de la Nación.</v>
          </cell>
          <cell r="J88" t="str">
            <v>CONTRATACIÓN DIRECTA</v>
          </cell>
          <cell r="K88" t="str">
            <v>PRESTACION DE SERVICIOS PROFESIONALES</v>
          </cell>
          <cell r="L88" t="str">
            <v xml:space="preserve">(2) $ 7.500.000                        </v>
          </cell>
          <cell r="M88">
            <v>15000000</v>
          </cell>
          <cell r="N88"/>
          <cell r="O88">
            <v>15000000</v>
          </cell>
          <cell r="P88" t="str">
            <v>Dos (2) mensualidades vencidas, cada una por valor de SIETE MILLONES QUINIENTOS MIL PESOS ($7’500.000) M/CTE.</v>
          </cell>
          <cell r="Q88" t="str">
            <v>2618  2018 04 Enero 2018</v>
          </cell>
          <cell r="R88" t="str">
            <v>PRESUPUESTO DE FUNCIONAMIENTO</v>
          </cell>
          <cell r="S88" t="str">
            <v>CSF</v>
          </cell>
          <cell r="T88" t="str">
            <v>10418-2018 17 Enero 2018</v>
          </cell>
          <cell r="U88" t="str">
            <v>N/A</v>
          </cell>
          <cell r="V88" t="str">
            <v>N/A</v>
          </cell>
          <cell r="W88" t="str">
            <v>N/A</v>
          </cell>
          <cell r="X88" t="str">
            <v xml:space="preserve">Dos (2) meses, contado a partir del perfeccionamiento del mismo y registro presupuestal. </v>
          </cell>
          <cell r="Y88">
            <v>43117</v>
          </cell>
          <cell r="Z88">
            <v>43175</v>
          </cell>
          <cell r="AA88">
            <v>58</v>
          </cell>
          <cell r="AB88" t="str">
            <v xml:space="preserve"> </v>
          </cell>
          <cell r="AC88">
            <v>43175</v>
          </cell>
          <cell r="AD88" t="str">
            <v xml:space="preserve">NOHORA CONSTANZA SIABATO LOZANO  </v>
          </cell>
          <cell r="AE88" t="str">
            <v>GRUPO DE GESTION FINANCIERA</v>
          </cell>
          <cell r="AF88"/>
          <cell r="AG88"/>
          <cell r="AH88"/>
          <cell r="AI88"/>
          <cell r="AJ88">
            <v>68.965517241379317</v>
          </cell>
          <cell r="AK88"/>
          <cell r="AL88" t="str">
            <v xml:space="preserve">2618 </v>
          </cell>
        </row>
        <row r="89">
          <cell r="A89">
            <v>96</v>
          </cell>
          <cell r="B89" t="str">
            <v>088-2018</v>
          </cell>
          <cell r="C89" t="str">
            <v>ALFREDO SCHLESINGER FACCINI</v>
          </cell>
          <cell r="D89">
            <v>1</v>
          </cell>
          <cell r="E89" t="str">
            <v>C.C.</v>
          </cell>
          <cell r="F89">
            <v>1020759709</v>
          </cell>
          <cell r="G89" t="str">
            <v>HOMBRE</v>
          </cell>
          <cell r="H89">
            <v>43116</v>
          </cell>
          <cell r="I89" t="str">
            <v>Prestar servicios profesionales en la Dirección de Participación, Transparencia y Servicio al Ciudadano de Función Pública, para apoyar la puesta en marcha de las políticas de participación ciudadana, en particular  del Sistema de Rendición de Cuentas y su articulación con los espacios de participación ciudadana, en el marco de la implementación del Acuerdo  Final para la Terminación del Conflicto y la Construcción de una Paz Estable y Duradera”.</v>
          </cell>
          <cell r="J89" t="str">
            <v>CONTRATACIÓN DIRECTA</v>
          </cell>
          <cell r="K89" t="str">
            <v>PRESTACION DE SERVICIOS PROFESIONALES</v>
          </cell>
          <cell r="L89" t="str">
            <v xml:space="preserve">(5) $ 4.897.000                        </v>
          </cell>
          <cell r="M89">
            <v>24485000</v>
          </cell>
          <cell r="N89"/>
          <cell r="O89">
            <v>24485000</v>
          </cell>
          <cell r="P89" t="str">
            <v>Cinco (5) mensualidades vencidas, cada una por valor de CUATRO MILLONES OCHOCIENTOS NOVENTA Y SIETE MIL PESOS ($4.897.000) M/CTE</v>
          </cell>
          <cell r="Q89" t="str">
            <v>5618  2018 04 Enero 2018</v>
          </cell>
          <cell r="R89" t="str">
            <v>IMPLEMENTACIÓN Y FORTALECIMIENTO DE LAS POLITICAS LIDERADAS POR FUNCION PUBLICA A NIVEL NACIONAL</v>
          </cell>
          <cell r="S89" t="str">
            <v>CSF</v>
          </cell>
          <cell r="T89" t="str">
            <v>10018-2018 17 Enero 2018</v>
          </cell>
          <cell r="U89" t="str">
            <v>N/A</v>
          </cell>
          <cell r="V89" t="str">
            <v>N/A</v>
          </cell>
          <cell r="W89" t="str">
            <v>N/A</v>
          </cell>
          <cell r="X89" t="str">
            <v>Cinco (5) meses, contado a partir del perfeccionamiento del mismo y registro presupuestal.</v>
          </cell>
          <cell r="Y89">
            <v>43117</v>
          </cell>
          <cell r="Z89">
            <v>43267</v>
          </cell>
          <cell r="AA89">
            <v>150</v>
          </cell>
          <cell r="AB89" t="str">
            <v xml:space="preserve"> </v>
          </cell>
          <cell r="AC89">
            <v>43267</v>
          </cell>
          <cell r="AD89" t="str">
            <v xml:space="preserve">SUSAN SIMONETH SUÁREZ GUTIÉRREZ </v>
          </cell>
          <cell r="AE89" t="str">
            <v>DIRECCION DE PARTICIPACION, TRANSPARENCIA Y SERVICIO AL CIUDADANO</v>
          </cell>
          <cell r="AF89"/>
          <cell r="AG89"/>
          <cell r="AH89"/>
          <cell r="AI89"/>
          <cell r="AJ89">
            <v>26.666666666666668</v>
          </cell>
          <cell r="AK89"/>
          <cell r="AL89" t="str">
            <v xml:space="preserve">5618 </v>
          </cell>
        </row>
        <row r="90">
          <cell r="A90">
            <v>173</v>
          </cell>
          <cell r="B90" t="str">
            <v>089-2018</v>
          </cell>
          <cell r="C90" t="str">
            <v>RICARDO ANDRES MOLINA SUAREZ</v>
          </cell>
          <cell r="D90">
            <v>1</v>
          </cell>
          <cell r="E90" t="str">
            <v>C.C.</v>
          </cell>
          <cell r="F90">
            <v>79960175</v>
          </cell>
          <cell r="G90" t="str">
            <v>HOMBRE</v>
          </cell>
          <cell r="H90">
            <v>43116</v>
          </cell>
          <cell r="I90" t="str">
            <v>Prestar servicios profesionales a la Dirección de Desarrollo Organizacional de Función Pública, para apoyar la implementación de la Estrategia de Gestión Territorial, en las entidades de los municipios de los departamentos que le sean asignados.</v>
          </cell>
          <cell r="J90" t="str">
            <v>CONTRATACIÓN DIRECTA</v>
          </cell>
          <cell r="K90" t="str">
            <v>PRESTACION DE SERVICIOS PROFESIONALES</v>
          </cell>
          <cell r="L90" t="str">
            <v xml:space="preserve">(8) $ 9.000.000                        </v>
          </cell>
          <cell r="M90">
            <v>72000000</v>
          </cell>
          <cell r="N90"/>
          <cell r="O90">
            <v>72000000</v>
          </cell>
          <cell r="P90" t="str">
            <v>Ocho (8) mensualidades vencidas, cada una por valor de NUEVE MILLONES DE PESOS ($9’000.000) M/CTE.</v>
          </cell>
          <cell r="Q90" t="str">
            <v>14418  2018 11 Enero 2018</v>
          </cell>
          <cell r="R90" t="str">
            <v>DESARROLLO Y FORTALECIMIENTO DE CAPACIDADES DE LAS ENTIDADES TERRITORIALES DE LA CIRCUNSCRIPCIÓN NACIONAL</v>
          </cell>
          <cell r="S90" t="str">
            <v>SSF</v>
          </cell>
          <cell r="T90" t="str">
            <v>15618-2018 22 Enero 2018</v>
          </cell>
          <cell r="U90" t="str">
            <v>N/A</v>
          </cell>
          <cell r="V90" t="str">
            <v>N/A</v>
          </cell>
          <cell r="W90" t="str">
            <v>N/A</v>
          </cell>
          <cell r="X90" t="str">
            <v>Ocho (8) meses, contados a partir del perfeccionamiento del mismo y registro presupuestal.</v>
          </cell>
          <cell r="Y90">
            <v>43122</v>
          </cell>
          <cell r="Z90">
            <v>43364</v>
          </cell>
          <cell r="AA90">
            <v>242</v>
          </cell>
          <cell r="AB90" t="str">
            <v xml:space="preserve"> </v>
          </cell>
          <cell r="AC90">
            <v>43364</v>
          </cell>
          <cell r="AD90" t="str">
            <v xml:space="preserve">ALEJANDRO BECKER ROJAS </v>
          </cell>
          <cell r="AE90" t="str">
            <v xml:space="preserve">DIRECCION DE DESARROLLO ORGANIZACIONAL  </v>
          </cell>
          <cell r="AF90"/>
          <cell r="AG90"/>
          <cell r="AH90"/>
          <cell r="AI90"/>
          <cell r="AJ90">
            <v>14.46280991735537</v>
          </cell>
          <cell r="AK90"/>
          <cell r="AL90" t="str">
            <v>14418</v>
          </cell>
        </row>
        <row r="91">
          <cell r="A91" t="str">
            <v>N/A</v>
          </cell>
          <cell r="B91" t="str">
            <v>090-2018</v>
          </cell>
          <cell r="C91" t="str">
            <v>HENRY QUIJALA                                 CANCELADO</v>
          </cell>
          <cell r="D91">
            <v>1</v>
          </cell>
          <cell r="E91" t="str">
            <v>C.C.</v>
          </cell>
          <cell r="F91" t="str">
            <v>N/A</v>
          </cell>
          <cell r="G91" t="str">
            <v>N/A</v>
          </cell>
          <cell r="H91" t="str">
            <v>N/A</v>
          </cell>
          <cell r="I91" t="str">
            <v>N/A</v>
          </cell>
          <cell r="J91" t="str">
            <v>N/A</v>
          </cell>
          <cell r="K91" t="str">
            <v>N/A</v>
          </cell>
          <cell r="L91" t="str">
            <v>N/A</v>
          </cell>
          <cell r="M91">
            <v>0</v>
          </cell>
          <cell r="N91" t="str">
            <v>N/A</v>
          </cell>
          <cell r="O91">
            <v>0</v>
          </cell>
          <cell r="P91" t="str">
            <v>N/A</v>
          </cell>
          <cell r="Q91" t="str">
            <v>N/A</v>
          </cell>
          <cell r="R91" t="str">
            <v>N/A</v>
          </cell>
          <cell r="S91" t="str">
            <v>N/A</v>
          </cell>
          <cell r="T91" t="str">
            <v>N/A</v>
          </cell>
          <cell r="U91" t="str">
            <v>N/A</v>
          </cell>
          <cell r="V91" t="str">
            <v>N/A</v>
          </cell>
          <cell r="W91" t="str">
            <v>N/A</v>
          </cell>
          <cell r="X91" t="str">
            <v>N/A</v>
          </cell>
          <cell r="Y91" t="str">
            <v>N/A</v>
          </cell>
          <cell r="Z91" t="str">
            <v>N/A</v>
          </cell>
          <cell r="AA91" t="str">
            <v>N/A</v>
          </cell>
          <cell r="AB91"/>
          <cell r="AC91" t="str">
            <v>N/A</v>
          </cell>
          <cell r="AD91" t="str">
            <v>N/A</v>
          </cell>
          <cell r="AE91" t="str">
            <v>N/A</v>
          </cell>
          <cell r="AF91"/>
          <cell r="AG91"/>
          <cell r="AH91"/>
          <cell r="AI91"/>
          <cell r="AJ91" t="str">
            <v>N/A</v>
          </cell>
          <cell r="AK91"/>
          <cell r="AL91" t="str">
            <v>N/A</v>
          </cell>
        </row>
        <row r="92">
          <cell r="A92">
            <v>171</v>
          </cell>
          <cell r="B92" t="str">
            <v>091-2018</v>
          </cell>
          <cell r="C92" t="str">
            <v>ORANGEL DE JESUS NORIEGA</v>
          </cell>
          <cell r="D92">
            <v>1</v>
          </cell>
          <cell r="E92" t="str">
            <v>C.C.</v>
          </cell>
          <cell r="F92">
            <v>12560639</v>
          </cell>
          <cell r="G92" t="str">
            <v>HOMBRE</v>
          </cell>
          <cell r="H92">
            <v>43116</v>
          </cell>
          <cell r="I92" t="str">
            <v>Prestar servicios profesionales a la Dirección de Desarrollo Organizacional de Función Pública, para apoyar la implementación de la Estrategia de Gestión Territorial, en las entidades de los municipios de los departamentos que le sean asignados.</v>
          </cell>
          <cell r="J92" t="str">
            <v>CONTRATACIÓN DIRECTA</v>
          </cell>
          <cell r="K92" t="str">
            <v>PRESTACION DE SERVICIOS PROFESIONALES</v>
          </cell>
          <cell r="L92" t="str">
            <v xml:space="preserve">(8) $ 9.000.000                        </v>
          </cell>
          <cell r="M92">
            <v>72000000</v>
          </cell>
          <cell r="N92"/>
          <cell r="O92">
            <v>72000000</v>
          </cell>
          <cell r="P92" t="str">
            <v>Ocho (8) mensualidades vencidas, cada una por valor de NUEVE MILLONES DE PESOS ($9’000.000) M/CTE.</v>
          </cell>
          <cell r="Q92" t="str">
            <v>14218  2018 11 Enero 2018</v>
          </cell>
          <cell r="R92" t="str">
            <v>DESARROLLO Y FORTALECIMIENTO DE CAPACIDADES DE LAS ENTIDADES TERRITORIALES DE LA CIRCUNSCRIPCIÓN NACIONAL</v>
          </cell>
          <cell r="S92" t="str">
            <v>CSF</v>
          </cell>
          <cell r="T92" t="str">
            <v>15718-2018 22 Enero 2018</v>
          </cell>
          <cell r="U92" t="str">
            <v>N/A</v>
          </cell>
          <cell r="V92" t="str">
            <v>N/A</v>
          </cell>
          <cell r="W92" t="str">
            <v>N/A</v>
          </cell>
          <cell r="X92" t="str">
            <v>Ocho (8) meses, contados a partir del perfeccionamiento del mismo y registro presupuestal.</v>
          </cell>
          <cell r="Y92">
            <v>43122</v>
          </cell>
          <cell r="Z92">
            <v>43364</v>
          </cell>
          <cell r="AA92">
            <v>242</v>
          </cell>
          <cell r="AB92" t="str">
            <v xml:space="preserve"> </v>
          </cell>
          <cell r="AC92">
            <v>43364</v>
          </cell>
          <cell r="AD92" t="str">
            <v xml:space="preserve">ALEJANDRO BECKER ROJAS </v>
          </cell>
          <cell r="AE92" t="str">
            <v xml:space="preserve">DIRECCION DE DESARROLLO ORGANIZACIONAL  </v>
          </cell>
          <cell r="AF92"/>
          <cell r="AG92"/>
          <cell r="AH92"/>
          <cell r="AI92"/>
          <cell r="AJ92">
            <v>14.46280991735537</v>
          </cell>
          <cell r="AK92"/>
          <cell r="AL92" t="str">
            <v>14218</v>
          </cell>
        </row>
        <row r="93">
          <cell r="A93">
            <v>176</v>
          </cell>
          <cell r="B93" t="str">
            <v>092-2018</v>
          </cell>
          <cell r="C93" t="str">
            <v>RICARDO ANTONIO FUENTES ESMERAL</v>
          </cell>
          <cell r="D93">
            <v>1</v>
          </cell>
          <cell r="E93" t="str">
            <v>C.C.</v>
          </cell>
          <cell r="F93">
            <v>72146098</v>
          </cell>
          <cell r="G93" t="str">
            <v>HOMBRE</v>
          </cell>
          <cell r="H93">
            <v>43116</v>
          </cell>
          <cell r="I93" t="str">
            <v>Prestar servicios profesionales a la Dirección de Desarrollo Organizacional de Función Pública, para apoyar la implementación de la Estrategia de Gestión Territorial, a través de la ejecución de los Planes de Acción Técnicos (PAT), en las entidades territoriales asignadas.</v>
          </cell>
          <cell r="J93" t="str">
            <v>CONTRATACIÓN DIRECTA</v>
          </cell>
          <cell r="K93" t="str">
            <v>PRESTACION DE SERVICIOS PROFESIONALES</v>
          </cell>
          <cell r="L93" t="str">
            <v xml:space="preserve">(8) $ 6.000.000                        </v>
          </cell>
          <cell r="M93">
            <v>48000000</v>
          </cell>
          <cell r="N93"/>
          <cell r="O93">
            <v>48000000</v>
          </cell>
          <cell r="P93" t="str">
            <v>Ocho (8) mensualidades vencidas, cada una por valor de SEIS MILLONES DE PESOS ($6’000.000) M/CTE.</v>
          </cell>
          <cell r="Q93" t="str">
            <v>14718  2018 11 Enero 2018</v>
          </cell>
          <cell r="R93" t="str">
            <v>DESARROLLO Y FORTALECIMIENTO DE CAPACIDADES DE LAS ENTIDADES TERRITORIALES DE LA CIRCUNSCRIPCIÓN NACIONAL</v>
          </cell>
          <cell r="S93" t="str">
            <v>CSF</v>
          </cell>
          <cell r="T93" t="str">
            <v>15818-2018 22 Enero 2018</v>
          </cell>
          <cell r="U93" t="str">
            <v>N/A</v>
          </cell>
          <cell r="V93" t="str">
            <v>N/A</v>
          </cell>
          <cell r="W93" t="str">
            <v>N/A</v>
          </cell>
          <cell r="X93" t="str">
            <v>Ocho (8) meses, contados a partir del perfeccionamiento del mismo y registro presupuestal.</v>
          </cell>
          <cell r="Y93">
            <v>43122</v>
          </cell>
          <cell r="Z93">
            <v>43364</v>
          </cell>
          <cell r="AA93">
            <v>242</v>
          </cell>
          <cell r="AB93" t="str">
            <v xml:space="preserve"> </v>
          </cell>
          <cell r="AC93">
            <v>43364</v>
          </cell>
          <cell r="AD93" t="str">
            <v xml:space="preserve">ALEJANDRO BECKER ROJAS </v>
          </cell>
          <cell r="AE93" t="str">
            <v xml:space="preserve">DIRECCION DE DESARROLLO ORGANIZACIONAL  </v>
          </cell>
          <cell r="AF93"/>
          <cell r="AG93"/>
          <cell r="AH93"/>
          <cell r="AI93"/>
          <cell r="AJ93">
            <v>14.46280991735537</v>
          </cell>
          <cell r="AK93"/>
          <cell r="AL93" t="str">
            <v>14718</v>
          </cell>
        </row>
        <row r="94">
          <cell r="A94">
            <v>163</v>
          </cell>
          <cell r="B94" t="str">
            <v>093-2018</v>
          </cell>
          <cell r="C94" t="str">
            <v>YULY VERONICA RUEDA PEREZ</v>
          </cell>
          <cell r="D94">
            <v>1</v>
          </cell>
          <cell r="E94" t="str">
            <v>C.C.</v>
          </cell>
          <cell r="F94">
            <v>1020714340</v>
          </cell>
          <cell r="G94" t="str">
            <v>MUJER</v>
          </cell>
          <cell r="H94">
            <v>43116</v>
          </cell>
          <cell r="I94" t="str">
            <v>Prestar servicios profesionales en la Dirección de Desarrollo Organizacional de Función Pública, para apoyar las actividades que se generan en el desarrollo de la tercera fase de la Estrategia de Gestión Territorial.</v>
          </cell>
          <cell r="J94" t="str">
            <v>CONTRATACIÓN DIRECTA</v>
          </cell>
          <cell r="K94" t="str">
            <v>PRESTACION DE SERVICIOS PROFESIONALES</v>
          </cell>
          <cell r="L94" t="str">
            <v xml:space="preserve">(8) $ 4.340.000                        </v>
          </cell>
          <cell r="M94">
            <v>34720000</v>
          </cell>
          <cell r="N94"/>
          <cell r="O94">
            <v>34720000</v>
          </cell>
          <cell r="P94" t="str">
            <v>Ocho (8) mensualidades vencidas, cada una por valor de CUATRO MILLONES TRESCIENTOS CUARENTA MIL PESOS ($4’340.000) M/CTE</v>
          </cell>
          <cell r="Q94" t="str">
            <v>13418  2018 11 Enero 2018</v>
          </cell>
          <cell r="R94" t="str">
            <v>DESARROLLO Y FORTALECIMIENTO DE CAPACIDADES DE LAS ENTIDADES TERRITORIALES DE LA CIRCUNSCRIPCIÓN NACIONAL</v>
          </cell>
          <cell r="S94" t="str">
            <v>SSF</v>
          </cell>
          <cell r="T94" t="str">
            <v>10118-2018 17 Enero 2018</v>
          </cell>
          <cell r="U94" t="str">
            <v>N/A</v>
          </cell>
          <cell r="V94" t="str">
            <v>N/A</v>
          </cell>
          <cell r="W94" t="str">
            <v>N/A</v>
          </cell>
          <cell r="X94" t="str">
            <v>Ocho (8) meses, contado a partir del perfeccionamiento del mismo y registro presupuestal.</v>
          </cell>
          <cell r="Y94">
            <v>43117</v>
          </cell>
          <cell r="Z94">
            <v>43359</v>
          </cell>
          <cell r="AA94">
            <v>242</v>
          </cell>
          <cell r="AB94" t="str">
            <v xml:space="preserve"> </v>
          </cell>
          <cell r="AC94">
            <v>43359</v>
          </cell>
          <cell r="AD94" t="str">
            <v xml:space="preserve">ALEJANDRO BECKER ROJAS </v>
          </cell>
          <cell r="AE94" t="str">
            <v xml:space="preserve">DIRECCION DE DESARROLLO ORGANIZACIONAL  </v>
          </cell>
          <cell r="AF94"/>
          <cell r="AG94"/>
          <cell r="AH94"/>
          <cell r="AI94"/>
          <cell r="AJ94">
            <v>16.528925619834713</v>
          </cell>
          <cell r="AK94"/>
          <cell r="AL94" t="str">
            <v>13418</v>
          </cell>
        </row>
        <row r="95">
          <cell r="A95">
            <v>197</v>
          </cell>
          <cell r="B95" t="str">
            <v>094-2018</v>
          </cell>
          <cell r="C95" t="str">
            <v>ESTHER SOFIA HENAO LOPEZ</v>
          </cell>
          <cell r="D95">
            <v>1</v>
          </cell>
          <cell r="E95" t="str">
            <v>C.C.</v>
          </cell>
          <cell r="F95">
            <v>52196410</v>
          </cell>
          <cell r="G95" t="str">
            <v>MUJER</v>
          </cell>
          <cell r="H95">
            <v>43116</v>
          </cell>
          <cell r="I95" t="str">
            <v>Prestar servicios profesionales a Función Pública para apoyar en la articulación y gestión de las actividades requeridas, en la implementación del Modelo Integrado de Planeación y Gestión (MIPG), en las entidades públicas del orden territorial, en desarrollo de la tercera fase de la Estrategia de Gestión Territorial.</v>
          </cell>
          <cell r="J95" t="str">
            <v>CONTRATACIÓN DIRECTA</v>
          </cell>
          <cell r="K95" t="str">
            <v>PRESTACION DE SERVICIOS PROFESIONALES</v>
          </cell>
          <cell r="L95" t="str">
            <v xml:space="preserve">(8) $ 8.500.000                        </v>
          </cell>
          <cell r="M95">
            <v>68000000</v>
          </cell>
          <cell r="N95"/>
          <cell r="O95">
            <v>68000000</v>
          </cell>
          <cell r="P95" t="str">
            <v>Ocho (8) mensualidades vencidas, cada una por valor de OCHO MILLONES QUINIENTOS MIL PESOS ($8’500.000) M/CTE.</v>
          </cell>
          <cell r="Q95" t="str">
            <v>16818  2018 11 Enero 2018</v>
          </cell>
          <cell r="R95" t="str">
            <v>DESARROLLO Y FORTALECIMIENTO DE CAPACIDADES DE LAS ENTIDADES TERRITORIALES DE LA CIRCUNSCRIPCIÓN NACIONAL</v>
          </cell>
          <cell r="S95" t="str">
            <v>SSF</v>
          </cell>
          <cell r="T95" t="str">
            <v>10218-2018 17 Enero 2018</v>
          </cell>
          <cell r="U95" t="str">
            <v>N/A</v>
          </cell>
          <cell r="V95" t="str">
            <v>N/A</v>
          </cell>
          <cell r="W95" t="str">
            <v>N/A</v>
          </cell>
          <cell r="X95" t="str">
            <v>Ocho (8) meses, contado a partir del perfeccionamiento del mismo y registro presupuestal.</v>
          </cell>
          <cell r="Y95">
            <v>43117</v>
          </cell>
          <cell r="Z95">
            <v>43359</v>
          </cell>
          <cell r="AA95">
            <v>242</v>
          </cell>
          <cell r="AB95" t="str">
            <v xml:space="preserve"> </v>
          </cell>
          <cell r="AC95">
            <v>43359</v>
          </cell>
          <cell r="AD95" t="str">
            <v xml:space="preserve">ALEJANDRO BECKER ROJAS </v>
          </cell>
          <cell r="AE95" t="str">
            <v xml:space="preserve">DIRECCION DE DESARROLLO ORGANIZACIONAL  </v>
          </cell>
          <cell r="AF95"/>
          <cell r="AG95"/>
          <cell r="AH95"/>
          <cell r="AI95"/>
          <cell r="AJ95">
            <v>16.528925619834713</v>
          </cell>
          <cell r="AK95"/>
          <cell r="AL95" t="str">
            <v>16818</v>
          </cell>
        </row>
        <row r="96">
          <cell r="A96">
            <v>179</v>
          </cell>
          <cell r="B96" t="str">
            <v>095-2018</v>
          </cell>
          <cell r="C96" t="str">
            <v>SUSY JEHIMY HERNANDEZ PIRACHICAN</v>
          </cell>
          <cell r="D96">
            <v>1</v>
          </cell>
          <cell r="E96" t="str">
            <v>C.C.</v>
          </cell>
          <cell r="F96">
            <v>52747361</v>
          </cell>
          <cell r="G96" t="str">
            <v>MUJER</v>
          </cell>
          <cell r="H96">
            <v>43117</v>
          </cell>
          <cell r="I96" t="str">
            <v>Prestar servicios profesionales en la Dirección de Desarrollo Organizacional de Función Pública, para apoyar la implementación de los Planes de Acción Técnicos (PAT) en el marco de la tercera fase de la Estrategia de Gestión Territorial.</v>
          </cell>
          <cell r="J96" t="str">
            <v>CONTRATACIÓN DIRECTA</v>
          </cell>
          <cell r="K96" t="str">
            <v>PRESTACION DE SERVICIOS PROFESIONALES</v>
          </cell>
          <cell r="L96" t="str">
            <v xml:space="preserve">(8) $ 9.000.000                        </v>
          </cell>
          <cell r="M96">
            <v>72000000</v>
          </cell>
          <cell r="N96"/>
          <cell r="O96">
            <v>72000000</v>
          </cell>
          <cell r="P96" t="str">
            <v>Ocho (8) mensualidades vencidas, cada una por valor de NUEVE MILLONES DE PESOS ($9’000.000) M/CTE.</v>
          </cell>
          <cell r="Q96" t="str">
            <v>15018  2018 11 Enero 2018</v>
          </cell>
          <cell r="R96" t="str">
            <v>DESARROLLO Y FORTALECIMIENTO DE CAPACIDADES DE LAS ENTIDADES TERRITORIALES DE LA CIRCUNSCRIPCIÓN NACIONAL</v>
          </cell>
          <cell r="S96" t="str">
            <v>SSF</v>
          </cell>
          <cell r="T96" t="str">
            <v>10918-2018 18 Enero 2018</v>
          </cell>
          <cell r="U96" t="str">
            <v>N/A</v>
          </cell>
          <cell r="V96" t="str">
            <v>N/A</v>
          </cell>
          <cell r="W96" t="str">
            <v>N/A</v>
          </cell>
          <cell r="X96" t="str">
            <v>Ocho (8) meses, contado a partir del perfeccionamiento del mismo y registro presupuestal.</v>
          </cell>
          <cell r="Y96">
            <v>43118</v>
          </cell>
          <cell r="Z96">
            <v>43360</v>
          </cell>
          <cell r="AA96">
            <v>242</v>
          </cell>
          <cell r="AB96" t="str">
            <v xml:space="preserve"> </v>
          </cell>
          <cell r="AC96">
            <v>43360</v>
          </cell>
          <cell r="AD96" t="str">
            <v xml:space="preserve">ALEJANDRO BECKER ROJAS </v>
          </cell>
          <cell r="AE96" t="str">
            <v xml:space="preserve">DIRECCION DE DESARROLLO ORGANIZACIONAL  </v>
          </cell>
          <cell r="AF96"/>
          <cell r="AG96"/>
          <cell r="AH96"/>
          <cell r="AI96"/>
          <cell r="AJ96">
            <v>16.115702479338843</v>
          </cell>
          <cell r="AK96"/>
          <cell r="AL96" t="str">
            <v>15018</v>
          </cell>
        </row>
        <row r="97">
          <cell r="A97">
            <v>141</v>
          </cell>
          <cell r="B97" t="str">
            <v>096-2018</v>
          </cell>
          <cell r="C97" t="str">
            <v>BEATRIZ HELENA HERNADEZ VARGAS</v>
          </cell>
          <cell r="D97">
            <v>1</v>
          </cell>
          <cell r="E97" t="str">
            <v>C.C.</v>
          </cell>
          <cell r="F97">
            <v>52259667</v>
          </cell>
          <cell r="G97" t="str">
            <v>MUJER</v>
          </cell>
          <cell r="H97">
            <v>43117</v>
          </cell>
          <cell r="I97" t="str">
            <v>Prestar servicios profesionales en el Grupo de Servicio al Ciudadano Institucional de Función Pública para apoyar la atención a los grupos de valor en el primer nivel de servicio de la Entidad.</v>
          </cell>
          <cell r="J97" t="str">
            <v>CONTRATACIÓN DIRECTA</v>
          </cell>
          <cell r="K97" t="str">
            <v>PRESTACION DE SERVICIOS PROFESIONALES</v>
          </cell>
          <cell r="L97" t="str">
            <v xml:space="preserve">(8) $ 3.895.000                        </v>
          </cell>
          <cell r="M97">
            <v>31160000</v>
          </cell>
          <cell r="N97"/>
          <cell r="O97">
            <v>31160000</v>
          </cell>
          <cell r="P97" t="str">
            <v>Ocho (8) mensualidades vencidas, cada una por valor de TRES MILLONES OCHOCIENTOS NOVENTA Y CINCO MIL PESOS ($3.895.000) M/CTE</v>
          </cell>
          <cell r="Q97" t="str">
            <v>11318  2018 11 Enero 2018</v>
          </cell>
          <cell r="R97" t="str">
            <v>IMPLEMENTACIÓN Y FORTALECIMIENTO DE LAS POLITICAS LIDERADAS POR FUNCION PUBLICA A NIVEL NACIONAL</v>
          </cell>
          <cell r="S97" t="str">
            <v>SSF</v>
          </cell>
          <cell r="T97" t="str">
            <v>11018-2018 18 Enero 2018</v>
          </cell>
          <cell r="U97" t="str">
            <v>N/A</v>
          </cell>
          <cell r="V97" t="str">
            <v>N/A</v>
          </cell>
          <cell r="W97" t="str">
            <v>N/A</v>
          </cell>
          <cell r="X97" t="str">
            <v>Ocho (8) meses, contado a partir del perfeccionamiento del mismo y registro presupuestal.</v>
          </cell>
          <cell r="Y97">
            <v>43118</v>
          </cell>
          <cell r="Z97">
            <v>43360</v>
          </cell>
          <cell r="AA97">
            <v>242</v>
          </cell>
          <cell r="AB97" t="str">
            <v xml:space="preserve"> </v>
          </cell>
          <cell r="AC97">
            <v>43360</v>
          </cell>
          <cell r="AD97" t="str">
            <v>JAIME HUMBERTO JIMENEZ VERGEL</v>
          </cell>
          <cell r="AE97" t="str">
            <v>GRUPO DE SERVICIO AL CIUDADANO INSTITUCIONAL</v>
          </cell>
          <cell r="AF97"/>
          <cell r="AG97"/>
          <cell r="AH97"/>
          <cell r="AI97"/>
          <cell r="AJ97">
            <v>16.115702479338843</v>
          </cell>
          <cell r="AK97"/>
          <cell r="AL97" t="str">
            <v>11318</v>
          </cell>
        </row>
        <row r="98">
          <cell r="A98">
            <v>178</v>
          </cell>
          <cell r="B98" t="str">
            <v>097-2018</v>
          </cell>
          <cell r="C98" t="str">
            <v>DIANA PATRICIA GUERRERO VALENCIA</v>
          </cell>
          <cell r="D98">
            <v>1</v>
          </cell>
          <cell r="E98" t="str">
            <v>C.C.</v>
          </cell>
          <cell r="F98">
            <v>33366843</v>
          </cell>
          <cell r="G98" t="str">
            <v>MUJER</v>
          </cell>
          <cell r="H98">
            <v>43117</v>
          </cell>
          <cell r="I98" t="str">
            <v>Prestar servicios profesionales a la Dirección de Desarrollo Organizacional de Función Pública, para apoyar la implementación de la Estrategia de Gestión Territorial, a través de la ejecución de los Planes de Acción Técnicos (PAT), en las entidades territoriales asignadas.</v>
          </cell>
          <cell r="J98" t="str">
            <v>CONTRATACIÓN DIRECTA</v>
          </cell>
          <cell r="K98" t="str">
            <v>PRESTACION DE SERVICIOS PROFESIONALES</v>
          </cell>
          <cell r="L98" t="str">
            <v xml:space="preserve">(8) $ 6.000.000                        </v>
          </cell>
          <cell r="M98">
            <v>48000000</v>
          </cell>
          <cell r="N98"/>
          <cell r="O98">
            <v>48000000</v>
          </cell>
          <cell r="P98" t="str">
            <v>Ocho (8) mensualidades vencidas, cada una por valor de SEIS MILLONES DE PESOS ($6’000.000) M/CTE.</v>
          </cell>
          <cell r="Q98" t="str">
            <v>14918  2018 11 Enero 2018</v>
          </cell>
          <cell r="R98" t="str">
            <v>DESARROLLO Y FORTALECIMIENTO DE CAPACIDADES DE LAS ENTIDADES TERRITORIALES DE LA CIRCUNSCRIPCIÓN NACIONAL</v>
          </cell>
          <cell r="S98" t="str">
            <v>SSF</v>
          </cell>
          <cell r="T98" t="str">
            <v>15918-2018 22 Enero 2018</v>
          </cell>
          <cell r="U98" t="str">
            <v>N/A</v>
          </cell>
          <cell r="V98" t="str">
            <v>N/A</v>
          </cell>
          <cell r="W98" t="str">
            <v>N/A</v>
          </cell>
          <cell r="X98" t="str">
            <v>Ocho (8) meses, contados a partir del perfeccionamiento del mismo y registro presupuestal.</v>
          </cell>
          <cell r="Y98">
            <v>43122</v>
          </cell>
          <cell r="Z98">
            <v>43364</v>
          </cell>
          <cell r="AA98">
            <v>242</v>
          </cell>
          <cell r="AB98" t="str">
            <v xml:space="preserve"> </v>
          </cell>
          <cell r="AC98">
            <v>43364</v>
          </cell>
          <cell r="AD98" t="str">
            <v xml:space="preserve">ALEJANDRO BECKER ROJAS </v>
          </cell>
          <cell r="AE98" t="str">
            <v xml:space="preserve">DIRECCION DE DESARROLLO ORGANIZACIONAL  </v>
          </cell>
          <cell r="AF98"/>
          <cell r="AG98"/>
          <cell r="AH98"/>
          <cell r="AI98"/>
          <cell r="AJ98">
            <v>14.46280991735537</v>
          </cell>
          <cell r="AK98"/>
          <cell r="AL98" t="str">
            <v>14918</v>
          </cell>
        </row>
        <row r="99">
          <cell r="A99">
            <v>79</v>
          </cell>
          <cell r="B99" t="str">
            <v>098-2018</v>
          </cell>
          <cell r="C99" t="str">
            <v>JUAN DAVID CAMACHO PIÑEROS</v>
          </cell>
          <cell r="D99">
            <v>1</v>
          </cell>
          <cell r="E99" t="str">
            <v>C.C.</v>
          </cell>
          <cell r="F99">
            <v>1016081463</v>
          </cell>
          <cell r="G99" t="str">
            <v>MUJER</v>
          </cell>
          <cell r="H99">
            <v>43117</v>
          </cell>
          <cell r="I99" t="str">
            <v>Prestar servicios de apoyo a la gestión, en la Secretaría General de Función Pública, en lo relacionado con el seguimiento a los diferentes planes suscritos por ésta dependencia y sus grupos internos de trabajo, así como la revisión de documentos generados por las mismas.</v>
          </cell>
          <cell r="J99" t="str">
            <v>CONTRATACIÓN DIRECTA</v>
          </cell>
          <cell r="K99" t="str">
            <v>PRESTACION DE SERVICIOS DE APOYO A LA GESTION</v>
          </cell>
          <cell r="L99" t="str">
            <v xml:space="preserve">(8) $ 1.800.000                        </v>
          </cell>
          <cell r="M99">
            <v>14400000</v>
          </cell>
          <cell r="N99"/>
          <cell r="O99">
            <v>14400000</v>
          </cell>
          <cell r="P99" t="str">
            <v>Ocho (8) mensualidades vencidas, cada una por valor de UN MILLON OCHOCIENTOS MIL PESOS ($1.800.000) M/CTE.</v>
          </cell>
          <cell r="Q99" t="str">
            <v>4018  2018 04 Enero 2018</v>
          </cell>
          <cell r="R99" t="str">
            <v>PRESUPUESTO DE FUNCIONAMIENTO</v>
          </cell>
          <cell r="S99" t="str">
            <v>CSF</v>
          </cell>
          <cell r="T99" t="str">
            <v>11118-2018 18 Enero 2018</v>
          </cell>
          <cell r="U99" t="str">
            <v>N/A</v>
          </cell>
          <cell r="V99" t="str">
            <v>N/A</v>
          </cell>
          <cell r="W99" t="str">
            <v>N/A</v>
          </cell>
          <cell r="X99" t="str">
            <v>Ocho (8) meses, contado a partir del perfeccionamiento del mismo y registro presupuestal.</v>
          </cell>
          <cell r="Y99">
            <v>43118</v>
          </cell>
          <cell r="Z99">
            <v>43360</v>
          </cell>
          <cell r="AA99">
            <v>242</v>
          </cell>
          <cell r="AB99" t="str">
            <v xml:space="preserve"> </v>
          </cell>
          <cell r="AC99">
            <v>43360</v>
          </cell>
          <cell r="AD99" t="str">
            <v>NATALIA ASTRID CARDONA RAMIREZ</v>
          </cell>
          <cell r="AE99" t="str">
            <v>SECRETARIA GENERAL</v>
          </cell>
          <cell r="AF99"/>
          <cell r="AG99"/>
          <cell r="AH99"/>
          <cell r="AI99"/>
          <cell r="AJ99">
            <v>16.115702479338843</v>
          </cell>
          <cell r="AK99"/>
          <cell r="AL99" t="str">
            <v xml:space="preserve">4018 </v>
          </cell>
        </row>
        <row r="100">
          <cell r="A100">
            <v>135</v>
          </cell>
          <cell r="B100" t="str">
            <v>099-2018</v>
          </cell>
          <cell r="C100" t="str">
            <v>NOHORA SUSANA BONILLA GUZMAN</v>
          </cell>
          <cell r="D100">
            <v>1</v>
          </cell>
          <cell r="E100" t="str">
            <v>C.C.</v>
          </cell>
          <cell r="F100">
            <v>52128985</v>
          </cell>
          <cell r="G100" t="str">
            <v>MUJER</v>
          </cell>
          <cell r="H100">
            <v>43117</v>
          </cell>
          <cell r="I100" t="str">
            <v>Prestar servicios profesionales en la Oficina Asesora de Comunicaciones, para apoyar el diseño y diagramación de documentos y publicaciones técnicas generadas por la entidad, en el marco de la Estrategia de Comunicaciones de Función Pública.</v>
          </cell>
          <cell r="J100" t="str">
            <v>CONTRATACIÓN DIRECTA</v>
          </cell>
          <cell r="K100" t="str">
            <v>PRESTACION DE SERVICIOS PROFESIONALES</v>
          </cell>
          <cell r="L100" t="str">
            <v xml:space="preserve">(8) $ 4.700.000                        </v>
          </cell>
          <cell r="M100">
            <v>37600000</v>
          </cell>
          <cell r="N100"/>
          <cell r="O100">
            <v>37600000</v>
          </cell>
          <cell r="P100" t="str">
            <v>Ocho (8) mensualidades vencidas, cada una por valor de CUATRO MILLONES SETECIENTOS MIL PESOS ($4´700.000) M/CTE.</v>
          </cell>
          <cell r="Q100" t="str">
            <v>10718  2018 11 Enero 2018</v>
          </cell>
          <cell r="R100" t="str">
            <v>IMPLEMENTACIÓN Y FORTALECIMIENTO DE LAS POLITICAS LIDERADAS POR FUNCION PUBLICA A NIVEL NACIONAL</v>
          </cell>
          <cell r="S100" t="str">
            <v>CSF</v>
          </cell>
          <cell r="T100" t="str">
            <v>11518-2018 19 Enero 2018</v>
          </cell>
          <cell r="U100" t="str">
            <v>N/A</v>
          </cell>
          <cell r="V100" t="str">
            <v>N/A</v>
          </cell>
          <cell r="W100" t="str">
            <v>N/A</v>
          </cell>
          <cell r="X100" t="str">
            <v>Ocho (8) meses, contado a partir del perfeccionamiento del mismo y registro presupuestal.</v>
          </cell>
          <cell r="Y100">
            <v>43119</v>
          </cell>
          <cell r="Z100">
            <v>43361</v>
          </cell>
          <cell r="AA100">
            <v>242</v>
          </cell>
          <cell r="AB100" t="str">
            <v xml:space="preserve"> </v>
          </cell>
          <cell r="AC100">
            <v>43361</v>
          </cell>
          <cell r="AD100" t="str">
            <v>DIANA MARIA BOHORQUEZ LOSADA</v>
          </cell>
          <cell r="AE100" t="str">
            <v>OFICINA ASESORA DE COMUNICACIONES</v>
          </cell>
          <cell r="AF100"/>
          <cell r="AG100"/>
          <cell r="AH100"/>
          <cell r="AI100"/>
          <cell r="AJ100">
            <v>15.702479338842975</v>
          </cell>
          <cell r="AK100"/>
          <cell r="AL100" t="str">
            <v>10718</v>
          </cell>
        </row>
        <row r="101">
          <cell r="A101">
            <v>120</v>
          </cell>
          <cell r="B101" t="str">
            <v>100-2018</v>
          </cell>
          <cell r="C101" t="str">
            <v>MARIANA DE JESUS PEREA URREA</v>
          </cell>
          <cell r="D101">
            <v>1</v>
          </cell>
          <cell r="E101" t="str">
            <v>C.C.</v>
          </cell>
          <cell r="F101">
            <v>1018471876</v>
          </cell>
          <cell r="G101" t="str">
            <v>MUJER</v>
          </cell>
          <cell r="H101">
            <v>43117</v>
          </cell>
          <cell r="I101" t="str">
            <v>Prestar servicios de apoyo a la Gestión en la Dirección General de Función Pública, para la recopilación, organización y control de la información, que contribuya a la elaboración de un informe sobre la evolución del empleo público en Colombia.</v>
          </cell>
          <cell r="J101" t="str">
            <v>CONTRATACIÓN DIRECTA</v>
          </cell>
          <cell r="K101" t="str">
            <v>PRESTACION DE SERVICIOS DE APOYO A LA GESTION</v>
          </cell>
          <cell r="L101" t="str">
            <v xml:space="preserve">(3) $ 1.350.000                        </v>
          </cell>
          <cell r="M101">
            <v>4050000</v>
          </cell>
          <cell r="N101"/>
          <cell r="O101">
            <v>4050000</v>
          </cell>
          <cell r="P101" t="str">
            <v>Tres (3) mensualidades vencidas, cada por un valor de UN MILLON TRESCIENTOS CINCUENTA MIL PESOS ($1’350.000) M/CTE</v>
          </cell>
          <cell r="Q101" t="str">
            <v>17118  2018 12 Enero 2018</v>
          </cell>
          <cell r="R101" t="str">
            <v>IMPLEMENTACIÓN Y FORTALECIMIENTO DE LAS POLITICAS LIDERADAS POR FUNCION PUBLICA A NIVEL NACIONAL</v>
          </cell>
          <cell r="S101" t="str">
            <v>CSF</v>
          </cell>
          <cell r="T101" t="str">
            <v>16018-2018 22 Enero 2018</v>
          </cell>
          <cell r="U101" t="str">
            <v>N/A</v>
          </cell>
          <cell r="V101" t="str">
            <v>N/A</v>
          </cell>
          <cell r="W101" t="str">
            <v>N/A</v>
          </cell>
          <cell r="X101" t="str">
            <v>Tres (3) meses, contado a partir del perfeccionamiento del mismo y registro presupuestal.</v>
          </cell>
          <cell r="Y101">
            <v>43122</v>
          </cell>
          <cell r="Z101">
            <v>43211</v>
          </cell>
          <cell r="AA101">
            <v>89</v>
          </cell>
          <cell r="AB101" t="str">
            <v xml:space="preserve"> </v>
          </cell>
          <cell r="AC101">
            <v>43211</v>
          </cell>
          <cell r="AD101" t="str">
            <v xml:space="preserve">DIEGO ALEJANDRO BELTRAN OGILVIE-BROWNE </v>
          </cell>
          <cell r="AE101" t="str">
            <v>DIRECCION DE GESTION DEL CONOCIMIENTO</v>
          </cell>
          <cell r="AF101"/>
          <cell r="AG101"/>
          <cell r="AH101"/>
          <cell r="AI101"/>
          <cell r="AJ101">
            <v>39.325842696629216</v>
          </cell>
          <cell r="AK101"/>
          <cell r="AL101" t="str">
            <v>17118</v>
          </cell>
        </row>
        <row r="102">
          <cell r="A102">
            <v>195</v>
          </cell>
          <cell r="B102" t="str">
            <v>101-2018</v>
          </cell>
          <cell r="C102" t="str">
            <v>ALICIA BUSTACARA ROMERO</v>
          </cell>
          <cell r="D102">
            <v>1</v>
          </cell>
          <cell r="E102" t="str">
            <v>C.C.</v>
          </cell>
          <cell r="F102">
            <v>52774062</v>
          </cell>
          <cell r="G102" t="str">
            <v>MUJER</v>
          </cell>
          <cell r="H102">
            <v>43117</v>
          </cell>
          <cell r="I102" t="str">
            <v>Prestar servicios profesionales a Función Pública para apoyar la implementación del Modelo Integrado de Planeación y Gestión (MIPG) en las entidades del orden territorial que le sean asignadas, en desarrollo de la tercera fase de la Estrategia de Gestión Territorial.</v>
          </cell>
          <cell r="J102" t="str">
            <v>CONTRATACIÓN DIRECTA</v>
          </cell>
          <cell r="K102" t="str">
            <v>PRESTACION DE SERVICIOS PROFESIONALES</v>
          </cell>
          <cell r="L102" t="str">
            <v xml:space="preserve">(7) $ 8.500.000                        </v>
          </cell>
          <cell r="M102">
            <v>59500000</v>
          </cell>
          <cell r="N102"/>
          <cell r="O102">
            <v>59500000</v>
          </cell>
          <cell r="P102" t="str">
            <v>Siete (7) mensualidades vencidas, cada una por valor de OCHO MILLONES QUINIENTOS MIL PESOS ($8’500.000) M/CTE.</v>
          </cell>
          <cell r="Q102" t="str">
            <v>16618  2018 11 Enero 2018</v>
          </cell>
          <cell r="R102" t="str">
            <v>DESARROLLO Y FORTALECIMIENTO DE CAPACIDADES DE LAS ENTIDADES TERRITORIALES DE LA CIRCUNSCRIPCIÓN NACIONAL</v>
          </cell>
          <cell r="S102" t="str">
            <v>CSF</v>
          </cell>
          <cell r="T102" t="str">
            <v>16118-2018 22 Enero 2018</v>
          </cell>
          <cell r="U102" t="str">
            <v>N/A</v>
          </cell>
          <cell r="V102" t="str">
            <v>N/A</v>
          </cell>
          <cell r="W102" t="str">
            <v>N/A</v>
          </cell>
          <cell r="X102" t="str">
            <v>Ocho (8) meses, contado a partir del perfeccionamiento del mismo y registro presupuestal.</v>
          </cell>
          <cell r="Y102">
            <v>43122</v>
          </cell>
          <cell r="Z102">
            <v>43364</v>
          </cell>
          <cell r="AA102">
            <v>242</v>
          </cell>
          <cell r="AB102" t="str">
            <v xml:space="preserve"> </v>
          </cell>
          <cell r="AC102">
            <v>43364</v>
          </cell>
          <cell r="AD102" t="str">
            <v xml:space="preserve">ALEJANDRO BECKER ROJAS </v>
          </cell>
          <cell r="AE102" t="str">
            <v xml:space="preserve">DIRECCION DE DESARROLLO ORGANIZACIONAL  </v>
          </cell>
          <cell r="AF102"/>
          <cell r="AG102"/>
          <cell r="AH102"/>
          <cell r="AI102"/>
          <cell r="AJ102">
            <v>14.46280991735537</v>
          </cell>
          <cell r="AK102"/>
          <cell r="AL102" t="str">
            <v>16618</v>
          </cell>
        </row>
        <row r="103">
          <cell r="A103">
            <v>137</v>
          </cell>
          <cell r="B103" t="str">
            <v>102-2018</v>
          </cell>
          <cell r="C103" t="str">
            <v>JORGE MARIO SIMANCAS CARDONA</v>
          </cell>
          <cell r="D103">
            <v>1</v>
          </cell>
          <cell r="E103" t="str">
            <v>C.C.</v>
          </cell>
          <cell r="F103">
            <v>79952980</v>
          </cell>
          <cell r="G103" t="str">
            <v>HOMBRE</v>
          </cell>
          <cell r="H103">
            <v>43117</v>
          </cell>
          <cell r="I103" t="str">
            <v xml:space="preserve">Prestar servicios profesionales en el Grupo de Servicio al Ciudadano Institucional de Función Pública para apoyar jurídicamente el fortalecimiento del primer nivel de servicio en materia de atención a peticiones, quejas, reclamos y sugerencias. </v>
          </cell>
          <cell r="J103" t="str">
            <v>CONTRATACIÓN DIRECTA</v>
          </cell>
          <cell r="K103" t="str">
            <v>PRESTACION DE SERVICIOS PROFESIONALES</v>
          </cell>
          <cell r="L103" t="str">
            <v xml:space="preserve">(8) $ 5.231.000                        </v>
          </cell>
          <cell r="M103">
            <v>41848000</v>
          </cell>
          <cell r="N103"/>
          <cell r="O103">
            <v>41848000</v>
          </cell>
          <cell r="P103" t="str">
            <v>Ocho (8) mensualidades vencidas, cada una por valor de CINCO MILLONES DOSCIENTOS TREINTA Y UN MIL PESOS ($5.231.000) M/CTE</v>
          </cell>
          <cell r="Q103" t="str">
            <v>10918  2018 11 Enero 2018</v>
          </cell>
          <cell r="R103" t="str">
            <v>IMPLEMENTACIÓN Y FORTALECIMIENTO DE LAS POLITICAS LIDERADAS POR FUNCION PUBLICA A NIVEL NACIONAL</v>
          </cell>
          <cell r="S103" t="str">
            <v>SSF</v>
          </cell>
          <cell r="T103" t="str">
            <v>10318-2018 17 Enero 2018</v>
          </cell>
          <cell r="U103" t="str">
            <v>N/A</v>
          </cell>
          <cell r="V103" t="str">
            <v>N/A</v>
          </cell>
          <cell r="W103" t="str">
            <v>N/A</v>
          </cell>
          <cell r="X103" t="str">
            <v>Ocho (8) meses, contado a partir del perfeccionamiento del mismo y registro presupuestal.</v>
          </cell>
          <cell r="Y103">
            <v>43117</v>
          </cell>
          <cell r="Z103">
            <v>43359</v>
          </cell>
          <cell r="AA103">
            <v>242</v>
          </cell>
          <cell r="AB103" t="str">
            <v xml:space="preserve"> </v>
          </cell>
          <cell r="AC103">
            <v>43359</v>
          </cell>
          <cell r="AD103" t="str">
            <v>JAIME HUMBERTO JIMENEZ VERGEL</v>
          </cell>
          <cell r="AE103" t="str">
            <v>GRUPO DE SERVICIO AL CIUDADANO INSTITUCIONAL</v>
          </cell>
          <cell r="AF103"/>
          <cell r="AG103"/>
          <cell r="AH103"/>
          <cell r="AI103"/>
          <cell r="AJ103">
            <v>16.528925619834713</v>
          </cell>
          <cell r="AK103"/>
          <cell r="AL103" t="str">
            <v>10918</v>
          </cell>
        </row>
        <row r="104">
          <cell r="A104">
            <v>117</v>
          </cell>
          <cell r="B104" t="str">
            <v>103-2018</v>
          </cell>
          <cell r="C104" t="str">
            <v>ROCIO LONDOÑO BOTERO</v>
          </cell>
          <cell r="D104">
            <v>1</v>
          </cell>
          <cell r="E104" t="str">
            <v>C.C.</v>
          </cell>
          <cell r="F104">
            <v>41324092</v>
          </cell>
          <cell r="G104" t="str">
            <v>MUJER</v>
          </cell>
          <cell r="H104">
            <v>43117</v>
          </cell>
          <cell r="I104" t="str">
            <v>Prestar servicios profesionales en la Dirección General de Función Pública, para articular y revisar la información necesaria para la elaboración de un informe sobre la evolución del empleo público en Colombia.</v>
          </cell>
          <cell r="J104" t="str">
            <v>CONTRATACIÓN DIRECTA</v>
          </cell>
          <cell r="K104" t="str">
            <v>PRESTACION DE SERVICIOS PROFESIONALES</v>
          </cell>
          <cell r="L104" t="str">
            <v xml:space="preserve">(3) $ 7.166.000                        </v>
          </cell>
          <cell r="M104">
            <v>21498000</v>
          </cell>
          <cell r="N104"/>
          <cell r="O104">
            <v>21498000</v>
          </cell>
          <cell r="P104" t="str">
            <v>Tres (3) mensualidades vencidas, cada una por valor de SIETE MILLONES CIENTO SESENTA Y SEIS MIL PESOS ($7’166.000) M/CTE.</v>
          </cell>
          <cell r="Q104" t="str">
            <v>9018  2018 11 Enero 2018</v>
          </cell>
          <cell r="R104" t="str">
            <v>IMPLEMENTACIÓN Y FORTALECIMIENTO DE LAS POLITICAS LIDERADAS POR FUNCION PUBLICA A NIVEL NACIONAL</v>
          </cell>
          <cell r="S104" t="str">
            <v>SSF</v>
          </cell>
          <cell r="T104" t="str">
            <v>16218-2018 22 Enero 2018</v>
          </cell>
          <cell r="U104" t="str">
            <v>N/A</v>
          </cell>
          <cell r="V104" t="str">
            <v>N/A</v>
          </cell>
          <cell r="W104" t="str">
            <v>N/A</v>
          </cell>
          <cell r="X104" t="str">
            <v>Tres (3) meses, contado a partir del perfeccionamiento del mismo y registro presupuestal.</v>
          </cell>
          <cell r="Y104">
            <v>43122</v>
          </cell>
          <cell r="Z104">
            <v>43211</v>
          </cell>
          <cell r="AA104">
            <v>89</v>
          </cell>
          <cell r="AB104" t="str">
            <v xml:space="preserve"> </v>
          </cell>
          <cell r="AC104">
            <v>43211</v>
          </cell>
          <cell r="AD104" t="str">
            <v xml:space="preserve">DIEGO ALEJANDRO BELTRAN OGILVIE-BROWNE </v>
          </cell>
          <cell r="AE104" t="str">
            <v>DIRECCION DE GESTION DEL CONOCIMIENTO</v>
          </cell>
          <cell r="AF104"/>
          <cell r="AG104"/>
          <cell r="AH104"/>
          <cell r="AI104"/>
          <cell r="AJ104">
            <v>39.325842696629216</v>
          </cell>
          <cell r="AK104"/>
          <cell r="AL104" t="str">
            <v xml:space="preserve">9018 </v>
          </cell>
        </row>
        <row r="105">
          <cell r="A105">
            <v>118</v>
          </cell>
          <cell r="B105" t="str">
            <v>104-2018</v>
          </cell>
          <cell r="C105" t="str">
            <v>OMAR LORENZO SALINAS VILLAMIZAR</v>
          </cell>
          <cell r="D105">
            <v>1</v>
          </cell>
          <cell r="E105" t="str">
            <v>C.C.</v>
          </cell>
          <cell r="F105">
            <v>80250958</v>
          </cell>
          <cell r="G105" t="str">
            <v>HOMBRE</v>
          </cell>
          <cell r="H105">
            <v>43117</v>
          </cell>
          <cell r="I105" t="str">
            <v>Prestar servicios profesionales en la Dirección General de Función Pública, para apoyar la revisión de la información necesaria para la elaboración de un informe sobre la evolución del empleo público en Colombia.</v>
          </cell>
          <cell r="J105" t="str">
            <v>CONTRATACIÓN DIRECTA</v>
          </cell>
          <cell r="K105" t="str">
            <v>PRESTACION DE SERVICIOS PROFESIONALES</v>
          </cell>
          <cell r="L105" t="str">
            <v xml:space="preserve">(3) $ 5.231.000                        </v>
          </cell>
          <cell r="M105">
            <v>15693000</v>
          </cell>
          <cell r="N105"/>
          <cell r="O105">
            <v>15693000</v>
          </cell>
          <cell r="P105" t="str">
            <v>Tres (3) mensualidades vencidas, cada una por valor de CINCO MILLONES DOSCIENTOS TREINTA Y UN MIL PESOS ($5’231.000) M/CTE.</v>
          </cell>
          <cell r="Q105" t="str">
            <v>16918  2018 11 Enero 2018</v>
          </cell>
          <cell r="R105" t="str">
            <v>IMPLEMENTACIÓN Y FORTALECIMIENTO DE LAS POLITICAS LIDERADAS POR FUNCION PUBLICA A NIVEL NACIONAL</v>
          </cell>
          <cell r="S105" t="str">
            <v>SSF</v>
          </cell>
          <cell r="T105" t="str">
            <v>16318-2018 22 Enero 2018</v>
          </cell>
          <cell r="U105" t="str">
            <v>N/A</v>
          </cell>
          <cell r="V105" t="str">
            <v>N/A</v>
          </cell>
          <cell r="W105" t="str">
            <v>N/A</v>
          </cell>
          <cell r="X105" t="str">
            <v>Tres (3) meses, contado a partir del perfeccionamiento del mismo y registro presupuestal.</v>
          </cell>
          <cell r="Y105">
            <v>43122</v>
          </cell>
          <cell r="Z105">
            <v>43211</v>
          </cell>
          <cell r="AA105">
            <v>89</v>
          </cell>
          <cell r="AB105" t="str">
            <v xml:space="preserve"> </v>
          </cell>
          <cell r="AC105">
            <v>43211</v>
          </cell>
          <cell r="AD105" t="str">
            <v xml:space="preserve">DIEGO ALEJANDRO BELTRAN OGILVIE-BROWNE </v>
          </cell>
          <cell r="AE105" t="str">
            <v>DIRECCION DE GESTION DEL CONOCIMIENTO</v>
          </cell>
          <cell r="AF105"/>
          <cell r="AG105"/>
          <cell r="AH105"/>
          <cell r="AI105"/>
          <cell r="AJ105">
            <v>39.325842696629216</v>
          </cell>
          <cell r="AK105"/>
          <cell r="AL105" t="str">
            <v>16918</v>
          </cell>
        </row>
        <row r="106">
          <cell r="A106">
            <v>119</v>
          </cell>
          <cell r="B106" t="str">
            <v>105-2018</v>
          </cell>
          <cell r="C106" t="str">
            <v>OSCAR DAVID SAIDIZA PEÑUELA</v>
          </cell>
          <cell r="D106">
            <v>1</v>
          </cell>
          <cell r="E106" t="str">
            <v>C.C.</v>
          </cell>
          <cell r="F106">
            <v>80449490</v>
          </cell>
          <cell r="G106" t="str">
            <v>HOMBRE</v>
          </cell>
          <cell r="H106">
            <v>43117</v>
          </cell>
          <cell r="I106" t="str">
            <v>Prestar servicios profesionales en la Dirección General de Función Pública, para apoyar la elaboración de instrumentos de recolección, asi como la recopilación, revisión y organización de la información, que conduzca a la elaboración de un informe sobre la evolución del empleo público en colombia.</v>
          </cell>
          <cell r="J106" t="str">
            <v>CONTRATACIÓN DIRECTA</v>
          </cell>
          <cell r="K106" t="str">
            <v>PRESTACION DE SERVICIOS PROFESIONALES</v>
          </cell>
          <cell r="L106" t="str">
            <v xml:space="preserve">(3) $ 6.394.000                        </v>
          </cell>
          <cell r="M106">
            <v>19182000</v>
          </cell>
          <cell r="N106"/>
          <cell r="O106">
            <v>19182000</v>
          </cell>
          <cell r="P106" t="str">
            <v>Tres (3) mensualidades vencidas, cada una por valor de SEIS MILLONES TRESCIENTOS NOVENTA Y CUATRO MIL PESOS ($6’394.000) M/CTE.</v>
          </cell>
          <cell r="Q106" t="str">
            <v>9118  2018 11 Enero 2018</v>
          </cell>
          <cell r="R106" t="str">
            <v>IMPLEMENTACIÓN Y FORTALECIMIENTO DE LAS POLITICAS LIDERADAS POR FUNCION PUBLICA A NIVEL NACIONAL</v>
          </cell>
          <cell r="S106" t="str">
            <v>SSF</v>
          </cell>
          <cell r="T106" t="str">
            <v>16418-2018 22 Enero 2018</v>
          </cell>
          <cell r="U106" t="str">
            <v>N/A</v>
          </cell>
          <cell r="V106" t="str">
            <v>N/A</v>
          </cell>
          <cell r="W106" t="str">
            <v>N/A</v>
          </cell>
          <cell r="X106" t="str">
            <v>Tres (3) meses, contado a partir del perfeccionamiento del mismo y registro presupuestal.</v>
          </cell>
          <cell r="Y106">
            <v>43122</v>
          </cell>
          <cell r="Z106">
            <v>43211</v>
          </cell>
          <cell r="AA106">
            <v>89</v>
          </cell>
          <cell r="AB106" t="str">
            <v xml:space="preserve"> </v>
          </cell>
          <cell r="AC106">
            <v>43211</v>
          </cell>
          <cell r="AD106" t="str">
            <v xml:space="preserve">DIEGO ALEJANDRO BELTRAN OGILVIE-BROWNE </v>
          </cell>
          <cell r="AE106" t="str">
            <v>DIRECCION DE GESTION DEL CONOCIMIENTO</v>
          </cell>
          <cell r="AF106"/>
          <cell r="AG106"/>
          <cell r="AH106"/>
          <cell r="AI106"/>
          <cell r="AJ106">
            <v>39.325842696629216</v>
          </cell>
          <cell r="AK106"/>
          <cell r="AL106" t="str">
            <v xml:space="preserve">9118 </v>
          </cell>
        </row>
        <row r="107">
          <cell r="A107">
            <v>165</v>
          </cell>
          <cell r="B107" t="str">
            <v>106-2018</v>
          </cell>
          <cell r="C107" t="str">
            <v>ANGELA PATRICIA CERÓN RAMIREZ</v>
          </cell>
          <cell r="D107">
            <v>1</v>
          </cell>
          <cell r="E107" t="str">
            <v>C.C.</v>
          </cell>
          <cell r="F107">
            <v>1016014869</v>
          </cell>
          <cell r="G107" t="str">
            <v>MUJER</v>
          </cell>
          <cell r="H107">
            <v>43117</v>
          </cell>
          <cell r="I107" t="str">
            <v>Prestar servicios de apoyo a la gestión en la Dirección de Desarrollo Organizacional de Función Pública, para la recolección, organización y control de la información que surja en desarrollo de la Estrategia de Gestión Territorial.</v>
          </cell>
          <cell r="J107" t="str">
            <v>CONTRATACIÓN DIRECTA</v>
          </cell>
          <cell r="K107" t="str">
            <v>PRESTACION DE SERVICIOS DE APOYO A LA GESTION</v>
          </cell>
          <cell r="L107" t="str">
            <v xml:space="preserve">(8) $ 2.000.000                        </v>
          </cell>
          <cell r="M107">
            <v>16000000</v>
          </cell>
          <cell r="N107"/>
          <cell r="O107">
            <v>16000000</v>
          </cell>
          <cell r="P107" t="str">
            <v>Ocho (8) mensualidades vencidas, cada una por valor de DOS MILLONES DE PESOS ($2’000.000) M/CTE.</v>
          </cell>
          <cell r="Q107" t="str">
            <v>13618  2018 11 Enero 2018</v>
          </cell>
          <cell r="R107" t="str">
            <v>DESARROLLO Y FORTALECIMIENTO DE CAPACIDADES DE LAS ENTIDADES TERRITORIALES DE LA CIRCUNSCRIPCIÓN NACIONAL</v>
          </cell>
          <cell r="S107" t="str">
            <v>SSF</v>
          </cell>
          <cell r="T107" t="str">
            <v>11418-2018 18 Enero 2018</v>
          </cell>
          <cell r="U107" t="str">
            <v>N/A</v>
          </cell>
          <cell r="V107" t="str">
            <v>N/A</v>
          </cell>
          <cell r="W107" t="str">
            <v>N/A</v>
          </cell>
          <cell r="X107" t="str">
            <v>Ocho (8) meses, contado a partir del perfeccionamiento del mismo y registro presupuestal.</v>
          </cell>
          <cell r="Y107">
            <v>43118</v>
          </cell>
          <cell r="Z107">
            <v>43360</v>
          </cell>
          <cell r="AA107">
            <v>242</v>
          </cell>
          <cell r="AB107" t="str">
            <v xml:space="preserve"> </v>
          </cell>
          <cell r="AC107">
            <v>43360</v>
          </cell>
          <cell r="AD107" t="str">
            <v xml:space="preserve">ALEJANDRO BECKER ROJAS </v>
          </cell>
          <cell r="AE107" t="str">
            <v xml:space="preserve">DIRECCION DE DESARROLLO ORGANIZACIONAL  </v>
          </cell>
          <cell r="AF107"/>
          <cell r="AG107"/>
          <cell r="AH107"/>
          <cell r="AI107"/>
          <cell r="AJ107">
            <v>16.115702479338843</v>
          </cell>
          <cell r="AK107"/>
          <cell r="AL107" t="str">
            <v>13618</v>
          </cell>
        </row>
        <row r="108">
          <cell r="A108">
            <v>166</v>
          </cell>
          <cell r="B108" t="str">
            <v>107-2018</v>
          </cell>
          <cell r="C108" t="str">
            <v>MAYRA YINETH GALEANO BERGAÑO</v>
          </cell>
          <cell r="D108">
            <v>1</v>
          </cell>
          <cell r="E108" t="str">
            <v>C.C.</v>
          </cell>
          <cell r="F108">
            <v>38212117</v>
          </cell>
          <cell r="G108" t="str">
            <v>MUJER</v>
          </cell>
          <cell r="H108">
            <v>43117</v>
          </cell>
          <cell r="I108" t="str">
            <v>Prestar servicios profesionales en la Dirección de Desarrollo Organizacional de Función Pública, para apoyar la programación, alistamiento, articulación y segumiento a las comisiones, relacionados con la implementación de la tercera fase de la Estrategia de Gestión Territorial.</v>
          </cell>
          <cell r="J108" t="str">
            <v>CONTRATACIÓN DIRECTA</v>
          </cell>
          <cell r="K108" t="str">
            <v>PRESTACION DE SERVICIOS PROFESIONALES</v>
          </cell>
          <cell r="L108" t="str">
            <v xml:space="preserve">(8) $ 5.000.000                        </v>
          </cell>
          <cell r="M108">
            <v>40000000</v>
          </cell>
          <cell r="N108"/>
          <cell r="O108">
            <v>40000000</v>
          </cell>
          <cell r="P108" t="str">
            <v>Ocho (8) mensualidades vencidas, cada una por valor de CINCO MILLONES DE PESOS ($5.000.000) M/CTE</v>
          </cell>
          <cell r="Q108" t="str">
            <v>13718  2018 11 Enero 2018</v>
          </cell>
          <cell r="R108" t="str">
            <v>DESARROLLO Y FORTALECIMIENTO DE CAPACIDADES DE LAS ENTIDADES TERRITORIALES DE LA CIRCUNSCRIPCIÓN NACIONAL</v>
          </cell>
          <cell r="S108" t="str">
            <v>SSF</v>
          </cell>
          <cell r="T108" t="str">
            <v>11318-2018 18 Enero 2018</v>
          </cell>
          <cell r="U108" t="str">
            <v>N/A</v>
          </cell>
          <cell r="V108" t="str">
            <v>N/A</v>
          </cell>
          <cell r="W108" t="str">
            <v>N/A</v>
          </cell>
          <cell r="X108" t="str">
            <v>Ocho (8) meses, contado a partir del perfeccionamiento del mismo y registro presupuestal.</v>
          </cell>
          <cell r="Y108">
            <v>43118</v>
          </cell>
          <cell r="Z108">
            <v>43360</v>
          </cell>
          <cell r="AA108">
            <v>242</v>
          </cell>
          <cell r="AB108" t="str">
            <v xml:space="preserve"> </v>
          </cell>
          <cell r="AC108">
            <v>43360</v>
          </cell>
          <cell r="AD108" t="str">
            <v xml:space="preserve">ALEJANDRO BECKER ROJAS </v>
          </cell>
          <cell r="AE108" t="str">
            <v xml:space="preserve">DIRECCION DE DESARROLLO ORGANIZACIONAL  </v>
          </cell>
          <cell r="AF108"/>
          <cell r="AG108"/>
          <cell r="AH108"/>
          <cell r="AI108"/>
          <cell r="AJ108">
            <v>16.115702479338843</v>
          </cell>
          <cell r="AK108"/>
          <cell r="AL108" t="str">
            <v>13718</v>
          </cell>
        </row>
        <row r="109">
          <cell r="A109">
            <v>158</v>
          </cell>
          <cell r="B109" t="str">
            <v>108-2018</v>
          </cell>
          <cell r="C109" t="str">
            <v>JORGE ANDRES ROJAS URREA</v>
          </cell>
          <cell r="D109">
            <v>1</v>
          </cell>
          <cell r="E109" t="str">
            <v>C.C.</v>
          </cell>
          <cell r="F109">
            <v>91080756</v>
          </cell>
          <cell r="G109" t="str">
            <v>HOMBRE</v>
          </cell>
          <cell r="H109">
            <v>43118</v>
          </cell>
          <cell r="I109" t="str">
            <v>Prestar servicios profesionales en la Dirección Juridica de Función Pública para apoyar la estructuración, publicación, depuración y/o actualización de los contenidos del Gestor Normativo de la Entidad.</v>
          </cell>
          <cell r="J109" t="str">
            <v>CONTRATACIÓN DIRECTA</v>
          </cell>
          <cell r="K109" t="str">
            <v>PRESTACION DE SERVICIOS PROFESIONALES</v>
          </cell>
          <cell r="L109" t="str">
            <v xml:space="preserve">(8) $ 4.452.000                        </v>
          </cell>
          <cell r="M109">
            <v>35616000</v>
          </cell>
          <cell r="N109"/>
          <cell r="O109">
            <v>35616000</v>
          </cell>
          <cell r="P109" t="str">
            <v>Ocho (8) mensualidades vencidas, cada una por valor de CUATRO MILLONES CUATROCIENTOS CINCUENTA Y DOS MIL PESOS ($4.452.000) M/CTE</v>
          </cell>
          <cell r="Q109" t="str">
            <v>12918  2018 11 Enero 2018</v>
          </cell>
          <cell r="R109" t="str">
            <v>IMPLEMENTACIÓN Y FORTALECIMIENTO DE LAS POLITICAS LIDERADAS POR FUNCION PUBLICA A NIVEL NACIONAL</v>
          </cell>
          <cell r="S109" t="str">
            <v>SSF</v>
          </cell>
          <cell r="T109" t="str">
            <v>16518-2018 22 Enero 2018</v>
          </cell>
          <cell r="U109" t="str">
            <v>N/A</v>
          </cell>
          <cell r="V109" t="str">
            <v>N/A</v>
          </cell>
          <cell r="W109" t="str">
            <v>N/A</v>
          </cell>
          <cell r="X109" t="str">
            <v>Ocho (8) meses, contado a partir del perfeccionamiento del mismo y registro presupuestal.</v>
          </cell>
          <cell r="Y109">
            <v>43122</v>
          </cell>
          <cell r="Z109">
            <v>43364</v>
          </cell>
          <cell r="AA109">
            <v>242</v>
          </cell>
          <cell r="AB109" t="str">
            <v xml:space="preserve"> </v>
          </cell>
          <cell r="AC109">
            <v>43364</v>
          </cell>
          <cell r="AD109" t="str">
            <v xml:space="preserve">LUIS FERNANDO NUÑEZ RINCÓN </v>
          </cell>
          <cell r="AE109" t="str">
            <v>DIRECCION JURIDICA</v>
          </cell>
          <cell r="AF109"/>
          <cell r="AG109"/>
          <cell r="AH109"/>
          <cell r="AI109"/>
          <cell r="AJ109">
            <v>14.46280991735537</v>
          </cell>
          <cell r="AK109"/>
          <cell r="AL109" t="str">
            <v>12918</v>
          </cell>
        </row>
        <row r="110">
          <cell r="A110">
            <v>152</v>
          </cell>
          <cell r="B110" t="str">
            <v>109-2018</v>
          </cell>
          <cell r="C110" t="str">
            <v>CESAR ANDRES MARIN CAMACHO</v>
          </cell>
          <cell r="D110">
            <v>1</v>
          </cell>
          <cell r="E110" t="str">
            <v>C.C.</v>
          </cell>
          <cell r="F110">
            <v>1018477790</v>
          </cell>
          <cell r="G110" t="str">
            <v>HOMBRE</v>
          </cell>
          <cell r="H110">
            <v>43118</v>
          </cell>
          <cell r="I110" t="str">
            <v>Prestar servicios de apoyo a la gestión en la Dirección de Gestión y Desempeño Institucional de Función Pública, para realizar las actividades necesarias, para el desarrollo de los eventos de asesoría y gestión, que se deriven de la implementación del Modelo Integrado de Planeación y Gestión (MIPG).</v>
          </cell>
          <cell r="J110" t="str">
            <v>CONTRATACIÓN DIRECTA</v>
          </cell>
          <cell r="K110" t="str">
            <v>PRESTACION DE SERVICIOS DE APOYO A LA GESTION</v>
          </cell>
          <cell r="L110" t="str">
            <v xml:space="preserve">(8) $ 1.909.000                        </v>
          </cell>
          <cell r="M110">
            <v>15272000</v>
          </cell>
          <cell r="N110"/>
          <cell r="O110">
            <v>15272000</v>
          </cell>
          <cell r="P110" t="str">
            <v>Ocho (8) mensualidades vencidas, cada una por valor de UN MILLÓN NOVECIENTOS NUEVE MIL PESOS ($1’909.000) M/CTE.</v>
          </cell>
          <cell r="Q110" t="str">
            <v>12318  2018 11 Enero 2018</v>
          </cell>
          <cell r="R110" t="str">
            <v>IMPLEMENTACIÓN Y FORTALECIMIENTO DE LAS POLITICAS LIDERADAS POR FUNCION PUBLICA A NIVEL NACIONAL</v>
          </cell>
          <cell r="S110" t="str">
            <v>SSF</v>
          </cell>
          <cell r="T110" t="str">
            <v>16618-2018 22 Enero 2018</v>
          </cell>
          <cell r="U110" t="str">
            <v>N/A</v>
          </cell>
          <cell r="V110" t="str">
            <v>N/A</v>
          </cell>
          <cell r="W110" t="str">
            <v>N/A</v>
          </cell>
          <cell r="X110" t="str">
            <v>Ocho (8) meses, contado a partir del perfeccionamiento del mismo y registro presupuestal.</v>
          </cell>
          <cell r="Y110">
            <v>43122</v>
          </cell>
          <cell r="Z110">
            <v>43364</v>
          </cell>
          <cell r="AA110">
            <v>242</v>
          </cell>
          <cell r="AB110" t="str">
            <v xml:space="preserve"> </v>
          </cell>
          <cell r="AC110">
            <v>43364</v>
          </cell>
          <cell r="AD110" t="str">
            <v>DIANA MARIA CALDAS GUALTEROS</v>
          </cell>
          <cell r="AE110" t="str">
            <v>DIRECCION DE GESTION Y DESEMPEÑO INSTITUCIONAL</v>
          </cell>
          <cell r="AF110"/>
          <cell r="AG110"/>
          <cell r="AH110"/>
          <cell r="AI110"/>
          <cell r="AJ110">
            <v>14.46280991735537</v>
          </cell>
          <cell r="AK110"/>
          <cell r="AL110" t="str">
            <v>12318</v>
          </cell>
        </row>
        <row r="111">
          <cell r="A111">
            <v>126</v>
          </cell>
          <cell r="B111" t="str">
            <v>110-2018</v>
          </cell>
          <cell r="C111" t="str">
            <v>IVAN ALEJANDRO ORTIZ CARDONA</v>
          </cell>
          <cell r="D111">
            <v>1</v>
          </cell>
          <cell r="E111" t="str">
            <v>C.C.</v>
          </cell>
          <cell r="F111">
            <v>1026283439</v>
          </cell>
          <cell r="G111" t="str">
            <v>HOMBRE</v>
          </cell>
          <cell r="H111">
            <v>43118</v>
          </cell>
          <cell r="I111" t="str">
            <v>Prestar servicios de apoyo a la gestión en la Dirección de Gestión del Conocimiento de Función Pública, para efectuar la consolidación de la información generada en el proceso de gestión del conocimiento de grupos de valor y en el proceso de generación de productos y servicios para la gestión pública.</v>
          </cell>
          <cell r="J111" t="str">
            <v>CONTRATACIÓN DIRECTA</v>
          </cell>
          <cell r="K111" t="str">
            <v>PRESTACION DE SERVICIOS DE APOYO A LA GESTION</v>
          </cell>
          <cell r="L111" t="str">
            <v xml:space="preserve">(8) $ 1.909.000                        </v>
          </cell>
          <cell r="M111">
            <v>15272000</v>
          </cell>
          <cell r="N111"/>
          <cell r="O111">
            <v>15272000</v>
          </cell>
          <cell r="P111" t="str">
            <v>Ocho (8) mensualidades vencidas, cada una por valor de UN MILLÓN NOVECIENTOS NUEVE MIL PESOS ($1’909.000) M/CTE.</v>
          </cell>
          <cell r="Q111" t="str">
            <v>17218  2018 12 Enero 2018</v>
          </cell>
          <cell r="R111" t="str">
            <v>IMPLEMENTACIÓN Y FORTALECIMIENTO DE LAS POLITICAS LIDERADAS POR FUNCION PUBLICA A NIVEL NACIONAL</v>
          </cell>
          <cell r="S111" t="str">
            <v>SSF</v>
          </cell>
          <cell r="T111" t="str">
            <v>11618-2018 19 Enero 2018</v>
          </cell>
          <cell r="U111" t="str">
            <v>N/A</v>
          </cell>
          <cell r="V111" t="str">
            <v>N/A</v>
          </cell>
          <cell r="W111" t="str">
            <v>N/A</v>
          </cell>
          <cell r="X111" t="str">
            <v>Ocho (8) meses, contado a partir del perfeccionamiento del mismo y registro presupuestal.</v>
          </cell>
          <cell r="Y111">
            <v>43119</v>
          </cell>
          <cell r="Z111">
            <v>43361</v>
          </cell>
          <cell r="AA111">
            <v>242</v>
          </cell>
          <cell r="AB111" t="str">
            <v xml:space="preserve"> </v>
          </cell>
          <cell r="AC111">
            <v>43361</v>
          </cell>
          <cell r="AD111" t="str">
            <v xml:space="preserve">DIEGO ALEJANDRO BELTRAN OGILVIE-BROWNE </v>
          </cell>
          <cell r="AE111" t="str">
            <v>DIRECCION DE GESTION DEL CONOCIMIENTO</v>
          </cell>
          <cell r="AF111"/>
          <cell r="AG111"/>
          <cell r="AH111"/>
          <cell r="AI111"/>
          <cell r="AJ111">
            <v>15.702479338842975</v>
          </cell>
          <cell r="AK111"/>
          <cell r="AL111" t="str">
            <v>17218</v>
          </cell>
        </row>
        <row r="112">
          <cell r="A112">
            <v>130</v>
          </cell>
          <cell r="B112" t="str">
            <v>111-2018</v>
          </cell>
          <cell r="C112" t="str">
            <v>GERMAN ANDRES MAHECHA SUAREZ</v>
          </cell>
          <cell r="D112">
            <v>1</v>
          </cell>
          <cell r="E112" t="str">
            <v>C.C.</v>
          </cell>
          <cell r="F112">
            <v>80818173</v>
          </cell>
          <cell r="G112" t="str">
            <v>HOMBRE</v>
          </cell>
          <cell r="H112">
            <v>43118</v>
          </cell>
          <cell r="I112" t="str">
            <v>Prestar los servicios profesionales en la Oficina de Tecnologías de la Información y las Comunicaciones de Función Pública, para apoyar las necesidades de desarrollo e integración, del Sistema de Rendición de Cuentas para la implementación del Acuerdo de Paz, así como de las nuevas funcionalidades y procesos de administración, del Manual Único de Rendición de Cuentas.</v>
          </cell>
          <cell r="J112" t="str">
            <v>CONTRATACIÓN DIRECTA</v>
          </cell>
          <cell r="K112" t="str">
            <v>PRESTACION DE SERVICIOS PROFESIONALES</v>
          </cell>
          <cell r="L112" t="str">
            <v xml:space="preserve">(5) $ 6.510.000                        </v>
          </cell>
          <cell r="M112">
            <v>32550000</v>
          </cell>
          <cell r="N112"/>
          <cell r="O112">
            <v>32550000</v>
          </cell>
          <cell r="P112" t="str">
            <v>Cinco (5) mensualidades vencidas, cada una por valor de SEIS MILLONES QUINIENTOS DIEZ MIL PESOS ($6.510.000) M/CTE.</v>
          </cell>
          <cell r="Q112" t="str">
            <v>10218  2018 11 Enero 2018</v>
          </cell>
          <cell r="R112" t="str">
            <v>IMPLEMENTACIÓN Y FORTALECIMIENTO DE LAS POLITICAS LIDERADAS POR FUNCION PUBLICA A NIVEL NACIONAL</v>
          </cell>
          <cell r="S112" t="str">
            <v>SSF</v>
          </cell>
          <cell r="T112" t="str">
            <v>11718-2018 19 Enero 2018</v>
          </cell>
          <cell r="U112" t="str">
            <v>N/A</v>
          </cell>
          <cell r="V112" t="str">
            <v>N/A</v>
          </cell>
          <cell r="W112" t="str">
            <v>N/A</v>
          </cell>
          <cell r="X112" t="str">
            <v>Cinco (5) meses, contado a partir del perfeccionamiento del mismo y registro presupuestal.</v>
          </cell>
          <cell r="Y112">
            <v>43119</v>
          </cell>
          <cell r="Z112">
            <v>43269</v>
          </cell>
          <cell r="AA112">
            <v>150</v>
          </cell>
          <cell r="AB112" t="str">
            <v xml:space="preserve"> </v>
          </cell>
          <cell r="AC112">
            <v>43269</v>
          </cell>
          <cell r="AD112" t="str">
            <v>EDUAR ALFONSO GAVIRIA VERA</v>
          </cell>
          <cell r="AE112" t="str">
            <v xml:space="preserve">OFICINA DE TECNOLOGIAS DE LA INFORMACION Y LAS COMUNICACIONES </v>
          </cell>
          <cell r="AF112"/>
          <cell r="AG112"/>
          <cell r="AH112"/>
          <cell r="AI112"/>
          <cell r="AJ112">
            <v>25.333333333333336</v>
          </cell>
          <cell r="AK112"/>
          <cell r="AL112" t="str">
            <v>10218</v>
          </cell>
        </row>
        <row r="113">
          <cell r="A113">
            <v>159</v>
          </cell>
          <cell r="B113" t="str">
            <v>112-2018</v>
          </cell>
          <cell r="C113" t="str">
            <v>SANDRA LUCIA BARRIGA MORENO</v>
          </cell>
          <cell r="D113">
            <v>1</v>
          </cell>
          <cell r="E113" t="str">
            <v>C.C.</v>
          </cell>
          <cell r="F113">
            <v>52798691</v>
          </cell>
          <cell r="G113" t="str">
            <v>MUJER</v>
          </cell>
          <cell r="H113">
            <v>43118</v>
          </cell>
          <cell r="I113" t="str">
            <v>Prestar servicios profesionales en la Dirección Juridica de Función Pública para apoyar la estructuración, publicación, depuración y/o actualización de los contenidos del Gestor Normativo de la Entidad.</v>
          </cell>
          <cell r="J113" t="str">
            <v>CONTRATACIÓN DIRECTA</v>
          </cell>
          <cell r="K113" t="str">
            <v>PRESTACION DE SERVICIOS PROFESIONALES</v>
          </cell>
          <cell r="L113" t="str">
            <v xml:space="preserve">(8) $ 4.452.000                        </v>
          </cell>
          <cell r="M113">
            <v>35616000</v>
          </cell>
          <cell r="N113"/>
          <cell r="O113">
            <v>35616000</v>
          </cell>
          <cell r="P113" t="str">
            <v>Ocho (8) mensualidades vencidas, cada una por valor de CUATRO MILLONES CUATROCIENTOS CINCUENTA Y DOS MIL PESOS ($4.452.000) M/CTE</v>
          </cell>
          <cell r="Q113" t="str">
            <v>13018  2018 11 Enero 2018</v>
          </cell>
          <cell r="R113" t="str">
            <v>IMPLEMENTACIÓN Y FORTALECIMIENTO DE LAS POLITICAS LIDERADAS POR FUNCION PUBLICA A NIVEL NACIONAL</v>
          </cell>
          <cell r="S113" t="str">
            <v>SSF</v>
          </cell>
          <cell r="T113" t="str">
            <v>16718-2018 22 Enero 2018</v>
          </cell>
          <cell r="U113" t="str">
            <v>N/A</v>
          </cell>
          <cell r="V113" t="str">
            <v>N/A</v>
          </cell>
          <cell r="W113" t="str">
            <v>N/A</v>
          </cell>
          <cell r="X113" t="str">
            <v>Ocho (8) meses, contado a partir del perfeccionamiento del mismo y registro presupuestal.</v>
          </cell>
          <cell r="Y113">
            <v>43122</v>
          </cell>
          <cell r="Z113">
            <v>43364</v>
          </cell>
          <cell r="AA113">
            <v>242</v>
          </cell>
          <cell r="AB113" t="str">
            <v xml:space="preserve"> </v>
          </cell>
          <cell r="AC113">
            <v>43364</v>
          </cell>
          <cell r="AD113" t="str">
            <v xml:space="preserve">LUIS FERNANDO NUÑEZ RINCÓN </v>
          </cell>
          <cell r="AE113" t="str">
            <v>DIRECCION JURIDICA</v>
          </cell>
          <cell r="AF113"/>
          <cell r="AG113"/>
          <cell r="AH113"/>
          <cell r="AI113"/>
          <cell r="AJ113">
            <v>14.46280991735537</v>
          </cell>
          <cell r="AK113"/>
          <cell r="AL113" t="str">
            <v>13018</v>
          </cell>
        </row>
        <row r="114">
          <cell r="A114">
            <v>177</v>
          </cell>
          <cell r="B114" t="str">
            <v>113-2018</v>
          </cell>
          <cell r="C114" t="str">
            <v>LUZ STELLA CANTOR CARVAJAL</v>
          </cell>
          <cell r="D114">
            <v>1</v>
          </cell>
          <cell r="E114" t="str">
            <v>C.C.</v>
          </cell>
          <cell r="F114">
            <v>52933289</v>
          </cell>
          <cell r="G114" t="str">
            <v>MUJER</v>
          </cell>
          <cell r="H114">
            <v>43118</v>
          </cell>
          <cell r="I114" t="str">
            <v>Prestar servicios profesionales a la Dirección de Desarrollo Organizacional de Función Pública, para apoyar la implementación de la Estrategia de Gestión Territorial, a través de la ejecución de los Planes de Acción Técnicos (PAT), en las entidades territoriales asignadas.</v>
          </cell>
          <cell r="J114" t="str">
            <v>CONTRATACIÓN DIRECTA</v>
          </cell>
          <cell r="K114" t="str">
            <v>PRESTACION DE SERVICIOS PROFESIONALES</v>
          </cell>
          <cell r="L114" t="str">
            <v xml:space="preserve">(8) $ 6.000.000                        </v>
          </cell>
          <cell r="M114">
            <v>48000000</v>
          </cell>
          <cell r="N114"/>
          <cell r="O114">
            <v>48000000</v>
          </cell>
          <cell r="P114" t="str">
            <v>Ocho (8) mensualidades vencidas, cada una por valor de SEIS MILLONES DE PESOS ($6’000.000) M/CTE.</v>
          </cell>
          <cell r="Q114" t="str">
            <v>14818  2018 11 Enero 2018</v>
          </cell>
          <cell r="R114" t="str">
            <v>DESARROLLO Y FORTALECIMIENTO DE CAPACIDADES DE LAS ENTIDADES TERRITORIALES DE LA CIRCUNSCRIPCIÓN NACIONAL</v>
          </cell>
          <cell r="S114" t="str">
            <v>SSF</v>
          </cell>
          <cell r="T114" t="str">
            <v>13518-2018 19 Enero 2018</v>
          </cell>
          <cell r="U114" t="str">
            <v>N/A</v>
          </cell>
          <cell r="V114" t="str">
            <v>N/A</v>
          </cell>
          <cell r="W114" t="str">
            <v>N/A</v>
          </cell>
          <cell r="X114" t="str">
            <v>Ocho (8) meses, contado a partir del perfeccionamiento del mismo y registro presupuestal.</v>
          </cell>
          <cell r="Y114">
            <v>43119</v>
          </cell>
          <cell r="Z114">
            <v>43361</v>
          </cell>
          <cell r="AA114">
            <v>242</v>
          </cell>
          <cell r="AB114" t="str">
            <v xml:space="preserve"> </v>
          </cell>
          <cell r="AC114">
            <v>43361</v>
          </cell>
          <cell r="AD114" t="str">
            <v xml:space="preserve">ALEJANDRO BECKER ROJAS </v>
          </cell>
          <cell r="AE114" t="str">
            <v xml:space="preserve">DIRECCION DE DESARROLLO ORGANIZACIONAL  </v>
          </cell>
          <cell r="AF114"/>
          <cell r="AG114"/>
          <cell r="AH114"/>
          <cell r="AI114"/>
          <cell r="AJ114">
            <v>15.702479338842975</v>
          </cell>
          <cell r="AK114"/>
          <cell r="AL114" t="str">
            <v>14818</v>
          </cell>
        </row>
        <row r="115">
          <cell r="A115">
            <v>154</v>
          </cell>
          <cell r="B115" t="str">
            <v>114-2018</v>
          </cell>
          <cell r="C115" t="str">
            <v>NORA ELIZABETH ZAMORA SANTACRUZ</v>
          </cell>
          <cell r="D115">
            <v>1</v>
          </cell>
          <cell r="E115" t="str">
            <v>C.C.</v>
          </cell>
          <cell r="F115">
            <v>27080929</v>
          </cell>
          <cell r="G115" t="str">
            <v>MUJER</v>
          </cell>
          <cell r="H115">
            <v>43118</v>
          </cell>
          <cell r="I115" t="str">
            <v>Prestar servicios profesionales en la Dirección de Desarrollo Organizacional de Función Pública, para apoyar la revisión de la Interacción institucional en los sectores asignados,  teniendo en cuenta los parametros definidos por la Entidad.</v>
          </cell>
          <cell r="J115" t="str">
            <v>CONTRATACIÓN DIRECTA</v>
          </cell>
          <cell r="K115" t="str">
            <v>PRESTACION DE SERVICIOS PROFESIONALES</v>
          </cell>
          <cell r="L115" t="str">
            <v xml:space="preserve">(5) $ 12.360.000                        </v>
          </cell>
          <cell r="M115">
            <v>61800000</v>
          </cell>
          <cell r="N115"/>
          <cell r="O115">
            <v>61800000</v>
          </cell>
          <cell r="P115" t="str">
            <v>Cinco (5) mensualidades vencidas, cada una por valor de DOCE MILLONES TRESCIENTOS SESENTA MIL PESOS ($12.360.000) M/CTE</v>
          </cell>
          <cell r="Q115" t="str">
            <v>12518  2018 11 Enero 2018</v>
          </cell>
          <cell r="R115" t="str">
            <v>IMPLEMENTACIÓN Y FORTALECIMIENTO DE LAS POLITICAS LIDERADAS POR FUNCION PUBLICA A NIVEL NACIONAL</v>
          </cell>
          <cell r="S115" t="str">
            <v>SSF</v>
          </cell>
          <cell r="T115" t="str">
            <v>16818-2018 22 Enero 2018</v>
          </cell>
          <cell r="U115" t="str">
            <v>N/A</v>
          </cell>
          <cell r="V115" t="str">
            <v>N/A</v>
          </cell>
          <cell r="W115" t="str">
            <v>N/A</v>
          </cell>
          <cell r="X115" t="str">
            <v>Cinco (5) meses, contado a partir del perfeccionamiento del mismo y registro presupuestal.</v>
          </cell>
          <cell r="Y115">
            <v>43122</v>
          </cell>
          <cell r="Z115">
            <v>43272</v>
          </cell>
          <cell r="AA115">
            <v>150</v>
          </cell>
          <cell r="AB115" t="str">
            <v xml:space="preserve"> </v>
          </cell>
          <cell r="AC115">
            <v>43272</v>
          </cell>
          <cell r="AD115" t="str">
            <v xml:space="preserve">ALEJANDRO BECKER ROJAS </v>
          </cell>
          <cell r="AE115" t="str">
            <v xml:space="preserve">DIRECCION DE DESARROLLO ORGANIZACIONAL  </v>
          </cell>
          <cell r="AF115"/>
          <cell r="AG115"/>
          <cell r="AH115"/>
          <cell r="AI115"/>
          <cell r="AJ115">
            <v>23.333333333333332</v>
          </cell>
          <cell r="AK115"/>
          <cell r="AL115" t="str">
            <v>12518</v>
          </cell>
        </row>
        <row r="116">
          <cell r="A116">
            <v>155</v>
          </cell>
          <cell r="B116" t="str">
            <v>115-2018</v>
          </cell>
          <cell r="C116" t="str">
            <v>CAROLINA SANCHEZ BOHORQUEZ</v>
          </cell>
          <cell r="D116">
            <v>1</v>
          </cell>
          <cell r="E116" t="str">
            <v>C.C.</v>
          </cell>
          <cell r="F116">
            <v>52532296</v>
          </cell>
          <cell r="G116" t="str">
            <v>MUJER</v>
          </cell>
          <cell r="H116">
            <v>43118</v>
          </cell>
          <cell r="I116" t="str">
            <v>Prestar servicios profesionales en la Dirección de Desarrollo Organizacional de Función Pública, para apoyar la revisión de la Interacción institucional en los sectores asignados,  teniendo en cuenta los parametros definidos por la Entidad.</v>
          </cell>
          <cell r="J116" t="str">
            <v>CONTRATACIÓN DIRECTA</v>
          </cell>
          <cell r="K116" t="str">
            <v>PRESTACION DE SERVICIOS PROFESIONALES</v>
          </cell>
          <cell r="L116" t="str">
            <v xml:space="preserve">(5) $ 12.360.000                        </v>
          </cell>
          <cell r="M116">
            <v>61800000</v>
          </cell>
          <cell r="N116"/>
          <cell r="O116">
            <v>61800000</v>
          </cell>
          <cell r="P116" t="str">
            <v>Cinco (5) mensualidades vencidas, cada una por valor de DOCE MILLONES TRESCIENTOS SESENTA MIL PESOS ($12.360.000) M/CTE</v>
          </cell>
          <cell r="Q116" t="str">
            <v>12618  2018 11 Enero 2018</v>
          </cell>
          <cell r="R116" t="str">
            <v>IMPLEMENTACIÓN Y FORTALECIMIENTO DE LAS POLITICAS LIDERADAS POR FUNCION PUBLICA A NIVEL NACIONAL</v>
          </cell>
          <cell r="S116" t="str">
            <v>SSF</v>
          </cell>
          <cell r="T116" t="str">
            <v>16918-2018 22 Enero 2018</v>
          </cell>
          <cell r="U116" t="str">
            <v>N/A</v>
          </cell>
          <cell r="V116" t="str">
            <v>N/A</v>
          </cell>
          <cell r="W116" t="str">
            <v>N/A</v>
          </cell>
          <cell r="X116" t="str">
            <v>Cinco (5) meses, contado a partir del perfeccionamiento del mismo y registro presupuestal.</v>
          </cell>
          <cell r="Y116">
            <v>43122</v>
          </cell>
          <cell r="Z116">
            <v>43272</v>
          </cell>
          <cell r="AA116">
            <v>150</v>
          </cell>
          <cell r="AB116" t="str">
            <v xml:space="preserve"> </v>
          </cell>
          <cell r="AC116">
            <v>43272</v>
          </cell>
          <cell r="AD116" t="str">
            <v xml:space="preserve">ALEJANDRO BECKER ROJAS </v>
          </cell>
          <cell r="AE116" t="str">
            <v xml:space="preserve">DIRECCION DE DESARROLLO ORGANIZACIONAL  </v>
          </cell>
          <cell r="AF116"/>
          <cell r="AG116"/>
          <cell r="AH116"/>
          <cell r="AI116"/>
          <cell r="AJ116">
            <v>23.333333333333332</v>
          </cell>
          <cell r="AK116"/>
          <cell r="AL116" t="str">
            <v>12618</v>
          </cell>
        </row>
        <row r="117">
          <cell r="A117">
            <v>156</v>
          </cell>
          <cell r="B117" t="str">
            <v>116-2018</v>
          </cell>
          <cell r="C117" t="str">
            <v>CLAUDIA PATRICIA HERNANDEZ DIAZ</v>
          </cell>
          <cell r="D117">
            <v>1</v>
          </cell>
          <cell r="E117" t="str">
            <v>C.C.</v>
          </cell>
          <cell r="F117">
            <v>39544007</v>
          </cell>
          <cell r="G117" t="str">
            <v>MUJER</v>
          </cell>
          <cell r="H117">
            <v>43118</v>
          </cell>
          <cell r="I117" t="str">
            <v>Prestar servicios profesionales en la Dirección de Desarrollo Organizacional de Función Pública, para apoyar la revisión de la Interacción institucional en los sectores asignados,  teniendo en cuenta los parametros definidos por la Entidad.</v>
          </cell>
          <cell r="J117" t="str">
            <v>CONTRATACIÓN DIRECTA</v>
          </cell>
          <cell r="K117" t="str">
            <v>PRESTACION DE SERVICIOS PROFESIONALES</v>
          </cell>
          <cell r="L117" t="str">
            <v xml:space="preserve">(5) $ 12.360.000                        </v>
          </cell>
          <cell r="M117">
            <v>61800000</v>
          </cell>
          <cell r="N117"/>
          <cell r="O117">
            <v>61800000</v>
          </cell>
          <cell r="P117" t="str">
            <v>Cinco (5) mensualidades vencidas, cada una por valor de DOCE MILLONES TRESCIENTOS SESENTA MIL PESOS ($12.360.000) M/CTE</v>
          </cell>
          <cell r="Q117" t="str">
            <v>12718  2018 11 Enero 2018</v>
          </cell>
          <cell r="R117" t="str">
            <v>IMPLEMENTACIÓN Y FORTALECIMIENTO DE LAS POLITICAS LIDERADAS POR FUNCION PUBLICA A NIVEL NACIONAL</v>
          </cell>
          <cell r="S117" t="str">
            <v>SSF</v>
          </cell>
          <cell r="T117" t="str">
            <v>17018-2018 22 Enero 2018</v>
          </cell>
          <cell r="U117" t="str">
            <v>N/A</v>
          </cell>
          <cell r="V117" t="str">
            <v>N/A</v>
          </cell>
          <cell r="W117" t="str">
            <v>N/A</v>
          </cell>
          <cell r="X117" t="str">
            <v>Cinco (5) meses, contado a partir del perfeccionamiento del mismo y registro presupuestal.</v>
          </cell>
          <cell r="Y117">
            <v>43122</v>
          </cell>
          <cell r="Z117">
            <v>43272</v>
          </cell>
          <cell r="AA117">
            <v>150</v>
          </cell>
          <cell r="AB117" t="str">
            <v xml:space="preserve"> </v>
          </cell>
          <cell r="AC117">
            <v>43272</v>
          </cell>
          <cell r="AD117" t="str">
            <v xml:space="preserve">ALEJANDRO BECKER ROJAS </v>
          </cell>
          <cell r="AE117" t="str">
            <v xml:space="preserve">DIRECCION DE DESARROLLO ORGANIZACIONAL  </v>
          </cell>
          <cell r="AF117"/>
          <cell r="AG117"/>
          <cell r="AH117"/>
          <cell r="AI117"/>
          <cell r="AJ117">
            <v>23.333333333333332</v>
          </cell>
          <cell r="AK117"/>
          <cell r="AL117" t="str">
            <v>12718</v>
          </cell>
        </row>
        <row r="118">
          <cell r="A118">
            <v>175</v>
          </cell>
          <cell r="B118" t="str">
            <v>117-2018</v>
          </cell>
          <cell r="C118" t="str">
            <v>JENNIFER ALEJANDRA MOGOLLON BERNAL</v>
          </cell>
          <cell r="D118">
            <v>1</v>
          </cell>
          <cell r="E118" t="str">
            <v>C.C.</v>
          </cell>
          <cell r="F118">
            <v>52818428</v>
          </cell>
          <cell r="G118" t="str">
            <v>MUJER</v>
          </cell>
          <cell r="H118">
            <v>43118</v>
          </cell>
          <cell r="I118" t="str">
            <v>Prestar servicios profesionales en la Dirección de Desarrollo Organizacional de Función Pública, para apoyar la revisión  del resultado de las reformas organizacionales adelantadas en el Estado colombiano  durante el periodo 2010-2018 en todos los sectores de la Rama Ejecutiva.</v>
          </cell>
          <cell r="J118" t="str">
            <v>CONTRATACIÓN DIRECTA</v>
          </cell>
          <cell r="K118" t="str">
            <v>PRESTACION DE SERVICIOS PROFESIONALES</v>
          </cell>
          <cell r="L118" t="str">
            <v xml:space="preserve">(5) $ 9.000.000                        </v>
          </cell>
          <cell r="M118">
            <v>45000000</v>
          </cell>
          <cell r="N118"/>
          <cell r="O118">
            <v>45000000</v>
          </cell>
          <cell r="P118" t="str">
            <v>Cinco (5) mensualidades vencidas, cada una por valor de NUEVE MILLONES DE PESOS ($9.000.000) M/CTE</v>
          </cell>
          <cell r="Q118" t="str">
            <v>14618  2018 11 Enero 2018</v>
          </cell>
          <cell r="R118" t="str">
            <v>IMPLEMENTACIÓN Y FORTALECIMIENTO DE LAS POLITICAS LIDERADAS POR FUNCION PUBLICA A NIVEL NACIONAL</v>
          </cell>
          <cell r="S118" t="str">
            <v>SSF</v>
          </cell>
          <cell r="T118" t="str">
            <v>17118-2018 22 Enero 2018</v>
          </cell>
          <cell r="U118" t="str">
            <v>N/A</v>
          </cell>
          <cell r="V118" t="str">
            <v>N/A</v>
          </cell>
          <cell r="W118" t="str">
            <v>N/A</v>
          </cell>
          <cell r="X118" t="str">
            <v>Cinco (5) meses, contado a partir del perfeccionamiento del mismo y registro presupuestal.</v>
          </cell>
          <cell r="Y118">
            <v>43122</v>
          </cell>
          <cell r="Z118">
            <v>43272</v>
          </cell>
          <cell r="AA118">
            <v>150</v>
          </cell>
          <cell r="AB118" t="str">
            <v xml:space="preserve"> </v>
          </cell>
          <cell r="AC118">
            <v>43272</v>
          </cell>
          <cell r="AD118" t="str">
            <v xml:space="preserve">ALEJANDRO BECKER ROJAS </v>
          </cell>
          <cell r="AE118" t="str">
            <v xml:space="preserve">DIRECCION DE DESARROLLO ORGANIZACIONAL  </v>
          </cell>
          <cell r="AF118"/>
          <cell r="AG118"/>
          <cell r="AH118"/>
          <cell r="AI118"/>
          <cell r="AJ118">
            <v>23.333333333333332</v>
          </cell>
          <cell r="AK118"/>
          <cell r="AL118" t="str">
            <v>14618</v>
          </cell>
        </row>
        <row r="119">
          <cell r="A119">
            <v>153</v>
          </cell>
          <cell r="B119" t="str">
            <v>118-2018</v>
          </cell>
          <cell r="C119" t="str">
            <v>NOHORA MARCELA ACOSTA ORJUELA</v>
          </cell>
          <cell r="D119">
            <v>1</v>
          </cell>
          <cell r="E119" t="str">
            <v>C.C.</v>
          </cell>
          <cell r="F119">
            <v>52023758</v>
          </cell>
          <cell r="G119" t="str">
            <v>MUJER</v>
          </cell>
          <cell r="H119">
            <v>43118</v>
          </cell>
          <cell r="I119" t="str">
            <v>Prestar servicios profesionales en la Dirección de Desarrollo Organizacional de Función Pública, para apoyar la revisión de la Interacción institucional en los sectores asignados,  teniendo en cuenta los parametros definidos por la Entidad.</v>
          </cell>
          <cell r="J119" t="str">
            <v>CONTRATACIÓN DIRECTA</v>
          </cell>
          <cell r="K119" t="str">
            <v>PRESTACION DE SERVICIOS PROFESIONALES</v>
          </cell>
          <cell r="L119" t="str">
            <v xml:space="preserve">(5) $ 12.360.000                        </v>
          </cell>
          <cell r="M119">
            <v>61800000</v>
          </cell>
          <cell r="N119"/>
          <cell r="O119">
            <v>61800000</v>
          </cell>
          <cell r="P119" t="str">
            <v>Cinco (5) mensualidades vencidas, cada una por valor de DOCE MILLONES TRESCIENTOS SESENTA MIL PESOS ($12.360.000) M/CTE</v>
          </cell>
          <cell r="Q119" t="str">
            <v>12418  2018 11 Enero 2018</v>
          </cell>
          <cell r="R119" t="str">
            <v>IMPLEMENTACIÓN Y FORTALECIMIENTO DE LAS POLITICAS LIDERADAS POR FUNCION PUBLICA A NIVEL NACIONAL</v>
          </cell>
          <cell r="S119" t="str">
            <v>SSF</v>
          </cell>
          <cell r="T119" t="str">
            <v>17218-2018 22 Enero 2018</v>
          </cell>
          <cell r="U119" t="str">
            <v>N/A</v>
          </cell>
          <cell r="V119" t="str">
            <v>N/A</v>
          </cell>
          <cell r="W119" t="str">
            <v>N/A</v>
          </cell>
          <cell r="X119" t="str">
            <v>Cinco (5) meses, contado a partir del perfeccionamiento del mismo y registro presupuestal.</v>
          </cell>
          <cell r="Y119">
            <v>43122</v>
          </cell>
          <cell r="Z119">
            <v>43272</v>
          </cell>
          <cell r="AA119">
            <v>150</v>
          </cell>
          <cell r="AB119" t="str">
            <v xml:space="preserve"> </v>
          </cell>
          <cell r="AC119">
            <v>43272</v>
          </cell>
          <cell r="AD119" t="str">
            <v xml:space="preserve">ALEJANDRO BECKER ROJAS </v>
          </cell>
          <cell r="AE119" t="str">
            <v xml:space="preserve">DIRECCION DE DESARROLLO ORGANIZACIONAL  </v>
          </cell>
          <cell r="AF119"/>
          <cell r="AG119"/>
          <cell r="AH119"/>
          <cell r="AI119"/>
          <cell r="AJ119">
            <v>23.333333333333332</v>
          </cell>
          <cell r="AK119"/>
          <cell r="AL119" t="str">
            <v>12418</v>
          </cell>
        </row>
        <row r="120">
          <cell r="A120">
            <v>124</v>
          </cell>
          <cell r="B120" t="str">
            <v>119-2018</v>
          </cell>
          <cell r="C120" t="str">
            <v>SANTIAGO LEYVA BOTERO</v>
          </cell>
          <cell r="D120">
            <v>1</v>
          </cell>
          <cell r="E120" t="str">
            <v>C.C.</v>
          </cell>
          <cell r="F120">
            <v>71751994</v>
          </cell>
          <cell r="G120" t="str">
            <v>MUJER</v>
          </cell>
          <cell r="H120">
            <v>43118</v>
          </cell>
          <cell r="I120" t="str">
            <v>Prestar servicios profesionales en la Dirección de Gestión del Conocimiento de Función Pública, para apoyar la elaboración de un (1) documento de balance y prospectiva sobre la capacidad de cambio institucional en el sector público colombiano.</v>
          </cell>
          <cell r="J120" t="str">
            <v>CONTRATACIÓN DIRECTA</v>
          </cell>
          <cell r="K120" t="str">
            <v>PRESTACION DE SERVICIOS PROFESIONALES</v>
          </cell>
          <cell r="L120" t="str">
            <v xml:space="preserve">(2) $ 7.500.000                        </v>
          </cell>
          <cell r="M120">
            <v>15000000</v>
          </cell>
          <cell r="N120"/>
          <cell r="O120">
            <v>15000000</v>
          </cell>
          <cell r="P120" t="str">
            <v>Dos (2) mensualidades vencidas, cada una por valor de SIETE MILLONES QUINIENTOS MIL PESOS ($7.500.000) M/CTE</v>
          </cell>
          <cell r="Q120" t="str">
            <v>9618  2018 11 Enero 2018</v>
          </cell>
          <cell r="R120" t="str">
            <v>IMPLEMENTACIÓN Y FORTALECIMIENTO DE LAS POLITICAS LIDERADAS POR FUNCION PUBLICA A NIVEL NACIONAL</v>
          </cell>
          <cell r="S120" t="str">
            <v>SSF</v>
          </cell>
          <cell r="T120" t="str">
            <v>13618-2018 19 Enero 2018</v>
          </cell>
          <cell r="U120" t="str">
            <v>N/A</v>
          </cell>
          <cell r="V120" t="str">
            <v>N/A</v>
          </cell>
          <cell r="W120" t="str">
            <v>N/A</v>
          </cell>
          <cell r="X120" t="str">
            <v>Dos (2) meses, contado a partir del perfeccionamiento del mismo y registro presupuestal.</v>
          </cell>
          <cell r="Y120">
            <v>43119</v>
          </cell>
          <cell r="Z120">
            <v>43179</v>
          </cell>
          <cell r="AA120">
            <v>60</v>
          </cell>
          <cell r="AB120" t="str">
            <v xml:space="preserve"> </v>
          </cell>
          <cell r="AC120">
            <v>43179</v>
          </cell>
          <cell r="AD120" t="str">
            <v xml:space="preserve">DIEGO ALEJANDRO BELTRAN OGILVIE-BROWNE </v>
          </cell>
          <cell r="AE120" t="str">
            <v>DIRECCION DE GESTION DEL CONOCIMIENTO</v>
          </cell>
          <cell r="AF120"/>
          <cell r="AG120"/>
          <cell r="AH120"/>
          <cell r="AI120"/>
          <cell r="AJ120">
            <v>63.333333333333329</v>
          </cell>
          <cell r="AK120"/>
          <cell r="AL120" t="str">
            <v xml:space="preserve">9618 </v>
          </cell>
        </row>
        <row r="121">
          <cell r="A121">
            <v>148</v>
          </cell>
          <cell r="B121" t="str">
            <v>120-2018</v>
          </cell>
          <cell r="C121" t="str">
            <v>ADRIANA DEL PILAR CIFUENTES BLANCO</v>
          </cell>
          <cell r="D121">
            <v>1</v>
          </cell>
          <cell r="E121" t="str">
            <v>C.C.</v>
          </cell>
          <cell r="F121">
            <v>52179299</v>
          </cell>
          <cell r="G121" t="str">
            <v>MUJER</v>
          </cell>
          <cell r="H121">
            <v>43118</v>
          </cell>
          <cell r="I121" t="str">
            <v>Prestar servicios profesionales en la Dirección de Gestión y Desempeño Institucional de Función Pública para apoyar la revisión, simplificación y actualización de las guías y/o instrumentos de las políticas de gestión y desempeño en el marco del Modelo Integrado de Planeación y Gestión y apoyar las actividades del consejo para la Gestión y el Desempeño Institucional.</v>
          </cell>
          <cell r="J121" t="str">
            <v>CONTRATACIÓN DIRECTA</v>
          </cell>
          <cell r="K121" t="str">
            <v>PRESTACION DE SERVICIOS PROFESIONALES</v>
          </cell>
          <cell r="L121" t="str">
            <v xml:space="preserve">(8) $ 5.500.000                        </v>
          </cell>
          <cell r="M121">
            <v>44000000</v>
          </cell>
          <cell r="N121"/>
          <cell r="O121">
            <v>44000000</v>
          </cell>
          <cell r="P121" t="str">
            <v>Ocho (8) mensualidades vencidas, cada una por valor de CINCO MILLONES QUINIENTOS MIL PESOS ($5.500.000) M/CTE</v>
          </cell>
          <cell r="Q121" t="str">
            <v>11918  2018 11 Enero 2018</v>
          </cell>
          <cell r="R121" t="str">
            <v>IMPLEMENTACIÓN Y FORTALECIMIENTO DE LAS POLITICAS LIDERADAS POR FUNCION PUBLICA A NIVEL NACIONAL</v>
          </cell>
          <cell r="S121" t="str">
            <v>SSF</v>
          </cell>
          <cell r="T121" t="str">
            <v>17318-2018 22 Enero 2018</v>
          </cell>
          <cell r="U121" t="str">
            <v>N/A</v>
          </cell>
          <cell r="V121" t="str">
            <v>N/A</v>
          </cell>
          <cell r="W121" t="str">
            <v>N/A</v>
          </cell>
          <cell r="X121" t="str">
            <v>Ocho (8) meses, contado a partir del perfeccionamiento del mismo y registro presupuestal.</v>
          </cell>
          <cell r="Y121">
            <v>43122</v>
          </cell>
          <cell r="Z121">
            <v>43364</v>
          </cell>
          <cell r="AA121">
            <v>242</v>
          </cell>
          <cell r="AB121" t="str">
            <v xml:space="preserve"> </v>
          </cell>
          <cell r="AC121">
            <v>43364</v>
          </cell>
          <cell r="AD121" t="str">
            <v>DOLLY AMAYA CABALLERO</v>
          </cell>
          <cell r="AE121" t="str">
            <v>DIRECCION DE GESTION Y DESEMPEÑO INSTITUCIONAL</v>
          </cell>
          <cell r="AF121"/>
          <cell r="AG121"/>
          <cell r="AH121"/>
          <cell r="AI121"/>
          <cell r="AJ121">
            <v>14.46280991735537</v>
          </cell>
          <cell r="AK121"/>
          <cell r="AL121" t="str">
            <v>11918</v>
          </cell>
        </row>
        <row r="122">
          <cell r="A122">
            <v>161</v>
          </cell>
          <cell r="B122" t="str">
            <v>121-2018</v>
          </cell>
          <cell r="C122" t="str">
            <v>DANIEL DE JESUS ESMERAL JARAMILLO</v>
          </cell>
          <cell r="D122">
            <v>1</v>
          </cell>
          <cell r="E122" t="str">
            <v>C.C.</v>
          </cell>
          <cell r="F122">
            <v>1045698830</v>
          </cell>
          <cell r="G122" t="str">
            <v>HOMBRE</v>
          </cell>
          <cell r="H122">
            <v>43119</v>
          </cell>
          <cell r="I122" t="str">
            <v>Prestar servicios profesionales en la Dirección Juridica de la Función Pública, para apoyar la proyección de conceptos en materia de Derecho Laboral administrativo y situaciones relacionadas con el desempeño territorial.</v>
          </cell>
          <cell r="J122" t="str">
            <v>CONTRATACIÓN DIRECTA</v>
          </cell>
          <cell r="K122" t="str">
            <v>PRESTACION DE SERVICIOS PROFESIONALES</v>
          </cell>
          <cell r="L122" t="str">
            <v xml:space="preserve">(8) $ 4.452.000                        </v>
          </cell>
          <cell r="M122">
            <v>35616000</v>
          </cell>
          <cell r="N122"/>
          <cell r="O122">
            <v>35616000</v>
          </cell>
          <cell r="P122" t="str">
            <v>Ocho (8) mensualidades vencidas, cada una por valor de CUATRO MILLONES CUATROCIENTOS CINCUENTA Y DOS MIL PESOS ($4.452.000) M/CTE</v>
          </cell>
          <cell r="Q122" t="str">
            <v>13218  2018 11 Enero 2018</v>
          </cell>
          <cell r="R122" t="str">
            <v>IMPLEMENTACIÓN Y FORTALECIMIENTO DE LAS POLITICAS LIDERADAS POR FUNCION PUBLICA A NIVEL NACIONAL</v>
          </cell>
          <cell r="S122" t="str">
            <v>SSF</v>
          </cell>
          <cell r="T122" t="str">
            <v>17418-2018 22 Enero 2018</v>
          </cell>
          <cell r="U122" t="str">
            <v>N/A</v>
          </cell>
          <cell r="V122" t="str">
            <v>N/A</v>
          </cell>
          <cell r="W122" t="str">
            <v>N/A</v>
          </cell>
          <cell r="X122" t="str">
            <v>Ocho (8) meses, contado a partir del perfeccionamiento del mismo y registro presupuestal.</v>
          </cell>
          <cell r="Y122">
            <v>43122</v>
          </cell>
          <cell r="Z122">
            <v>43364</v>
          </cell>
          <cell r="AA122">
            <v>242</v>
          </cell>
          <cell r="AB122" t="str">
            <v xml:space="preserve"> </v>
          </cell>
          <cell r="AC122">
            <v>43364</v>
          </cell>
          <cell r="AD122" t="str">
            <v>JOSE FERNANDO CEBALLOS ARROYAVE</v>
          </cell>
          <cell r="AE122" t="str">
            <v>DIRECCION JURIDICA</v>
          </cell>
          <cell r="AF122"/>
          <cell r="AG122"/>
          <cell r="AH122"/>
          <cell r="AI122"/>
          <cell r="AJ122">
            <v>14.46280991735537</v>
          </cell>
          <cell r="AK122"/>
          <cell r="AL122" t="str">
            <v>13218</v>
          </cell>
        </row>
        <row r="123">
          <cell r="A123">
            <v>147</v>
          </cell>
          <cell r="B123" t="str">
            <v>122-2018</v>
          </cell>
          <cell r="C123" t="str">
            <v>DORLEY ENRIQUE LEÓN LOPEZ</v>
          </cell>
          <cell r="D123">
            <v>1</v>
          </cell>
          <cell r="E123" t="str">
            <v>C.C.</v>
          </cell>
          <cell r="F123">
            <v>7560306</v>
          </cell>
          <cell r="G123" t="str">
            <v>HOMBRE</v>
          </cell>
          <cell r="H123">
            <v>43119</v>
          </cell>
          <cell r="I123" t="str">
            <v>Prestar servicios profesionales en la Dirección de Gestión y Desempeño Institucional de Función Pública para apoyar la revisión, simplificación y actualización de las guías y/o instrumentos de la Política de control interno en el marco del modelo Integrado de Planeación y Gestión y apoyar las actividades del Consejo Asesor del Gobierno Nacional en materia de Control Interno y su Comité Técnico</v>
          </cell>
          <cell r="J123" t="str">
            <v>CONTRATACIÓN DIRECTA</v>
          </cell>
          <cell r="K123" t="str">
            <v>PRESTACION DE SERVICIOS PROFESIONALES</v>
          </cell>
          <cell r="L123" t="str">
            <v xml:space="preserve">(8) $ 5.500.000                        </v>
          </cell>
          <cell r="M123">
            <v>44000000</v>
          </cell>
          <cell r="N123"/>
          <cell r="O123">
            <v>44000000</v>
          </cell>
          <cell r="P123" t="str">
            <v>Ocho (8) mensualidades vencidas, cada una por valor de CINCO MILLONES QUINIENTOS MIL PESOS ($5.500.000) M/CTE</v>
          </cell>
          <cell r="Q123" t="str">
            <v>11818  2018 11 Enero 2018</v>
          </cell>
          <cell r="R123" t="str">
            <v>IMPLEMENTACIÓN Y FORTALECIMIENTO DE LAS POLITICAS LIDERADAS POR FUNCION PUBLICA A NIVEL NACIONAL</v>
          </cell>
          <cell r="S123" t="str">
            <v>SSF</v>
          </cell>
          <cell r="T123" t="str">
            <v>17518-2018 22 Enero 2018</v>
          </cell>
          <cell r="U123" t="str">
            <v>N/A</v>
          </cell>
          <cell r="V123" t="str">
            <v>N/A</v>
          </cell>
          <cell r="W123" t="str">
            <v>N/A</v>
          </cell>
          <cell r="X123" t="str">
            <v>Ocho (8) meses, contado a partir del perfeccionamiento del mismo y registro presupuestal.</v>
          </cell>
          <cell r="Y123">
            <v>43122</v>
          </cell>
          <cell r="Z123">
            <v>43364</v>
          </cell>
          <cell r="AA123">
            <v>242</v>
          </cell>
          <cell r="AB123" t="str">
            <v xml:space="preserve"> </v>
          </cell>
          <cell r="AC123">
            <v>43364</v>
          </cell>
          <cell r="AD123" t="str">
            <v>DOLLY AMAYA CABALLERO</v>
          </cell>
          <cell r="AE123" t="str">
            <v>DIRECCION DE GESTION Y DESEMPEÑO INSTITUCIONAL</v>
          </cell>
          <cell r="AF123"/>
          <cell r="AG123"/>
          <cell r="AH123"/>
          <cell r="AI123"/>
          <cell r="AJ123">
            <v>14.46280991735537</v>
          </cell>
          <cell r="AK123"/>
          <cell r="AL123" t="str">
            <v>11818</v>
          </cell>
        </row>
        <row r="124">
          <cell r="A124">
            <v>142</v>
          </cell>
          <cell r="B124" t="str">
            <v>123-2018</v>
          </cell>
          <cell r="C124" t="str">
            <v>DANIEL JOSE ORTIZ RIVERA</v>
          </cell>
          <cell r="D124">
            <v>1</v>
          </cell>
          <cell r="E124" t="str">
            <v>C.C.</v>
          </cell>
          <cell r="F124">
            <v>70015065</v>
          </cell>
          <cell r="G124" t="str">
            <v>HOMBRE</v>
          </cell>
          <cell r="H124">
            <v>43119</v>
          </cell>
          <cell r="I124" t="str">
            <v>Prestar servicios profesionales en el Grupo de Gestión Humana de Función Pública, para apoyar la implementación de un proceso de cambio de la cultura organizacional, basado en la apropación del Código de Integridad para los servidores públicos.</v>
          </cell>
          <cell r="J124" t="str">
            <v>CONTRATACIÓN DIRECTA</v>
          </cell>
          <cell r="K124" t="str">
            <v>PRESTACION DE SERVICIOS PROFESIONALES</v>
          </cell>
          <cell r="L124" t="str">
            <v xml:space="preserve">(8) $ 5.000.000                        </v>
          </cell>
          <cell r="M124">
            <v>40000000</v>
          </cell>
          <cell r="N124"/>
          <cell r="O124">
            <v>40000000</v>
          </cell>
          <cell r="P124" t="str">
            <v>Ocho (8) mensualidades vencidas, cada una por valor de CINCO MILLONES DE PESOS ($5.000.000) M/CTE</v>
          </cell>
          <cell r="Q124" t="str">
            <v>11418  2018 11 Enero 2018</v>
          </cell>
          <cell r="R124" t="str">
            <v>IMPLEMENTACIÓN Y FORTALECIMIENTO DE LAS POLITICAS LIDERADAS POR FUNCION PUBLICA A NIVEL NACIONAL</v>
          </cell>
          <cell r="S124" t="str">
            <v>SSF</v>
          </cell>
          <cell r="T124" t="str">
            <v>17718-2018 23 Enero 2018</v>
          </cell>
          <cell r="U124" t="str">
            <v>N/A</v>
          </cell>
          <cell r="V124" t="str">
            <v>N/A</v>
          </cell>
          <cell r="W124" t="str">
            <v>N/A</v>
          </cell>
          <cell r="X124" t="str">
            <v>Ocho (8) meses, contado a partir del perfeccionamiento del mismo y registro presupuestal.</v>
          </cell>
          <cell r="Y124">
            <v>43123</v>
          </cell>
          <cell r="Z124">
            <v>43365</v>
          </cell>
          <cell r="AA124">
            <v>242</v>
          </cell>
          <cell r="AB124" t="str">
            <v xml:space="preserve"> </v>
          </cell>
          <cell r="AC124">
            <v>43365</v>
          </cell>
          <cell r="AD124" t="str">
            <v>LUZ MARY RIAÑO CAMARGO</v>
          </cell>
          <cell r="AE124" t="str">
            <v>GRUPO DE GESTION HUMANA</v>
          </cell>
          <cell r="AF124"/>
          <cell r="AG124"/>
          <cell r="AH124"/>
          <cell r="AI124"/>
          <cell r="AJ124">
            <v>14.049586776859504</v>
          </cell>
          <cell r="AK124"/>
          <cell r="AL124" t="str">
            <v>11418</v>
          </cell>
        </row>
        <row r="125">
          <cell r="A125">
            <v>101</v>
          </cell>
          <cell r="B125" t="str">
            <v>124-2018</v>
          </cell>
          <cell r="C125" t="str">
            <v>LADY JOHANA TORRES LAVERDE</v>
          </cell>
          <cell r="D125">
            <v>1</v>
          </cell>
          <cell r="E125" t="str">
            <v>C.C.</v>
          </cell>
          <cell r="F125">
            <v>53107663</v>
          </cell>
          <cell r="G125" t="str">
            <v>MUJER</v>
          </cell>
          <cell r="H125">
            <v>43119</v>
          </cell>
          <cell r="I125" t="str">
            <v>Prestar servicios profesionales en la Dirección Juridica de Función Pública para apoyar la busqueda de extractos, reseñas, jurisprudencia, normas y demas documentos juridicos que permitan la publicación o actualización de información en el Gestor Normativo de la Entidad.</v>
          </cell>
          <cell r="J125" t="str">
            <v>CONTRATACIÓN DIRECTA</v>
          </cell>
          <cell r="K125" t="str">
            <v>PRESTACION DE SERVICIOS PROFESIONALES</v>
          </cell>
          <cell r="L125" t="str">
            <v xml:space="preserve">(5) $ 2.584.000                        </v>
          </cell>
          <cell r="M125">
            <v>12920000</v>
          </cell>
          <cell r="N125"/>
          <cell r="O125">
            <v>12920000</v>
          </cell>
          <cell r="P125" t="str">
            <v>Cinco (5) mensualidades vencidas, cada una por valor de DOS MILLONES QUINIENTOS OCHENTA Y CUATRO MIL PESOS ($2.584.000) M/CTE.</v>
          </cell>
          <cell r="Q125" t="str">
            <v>6118  2018 04 Enero 2018</v>
          </cell>
          <cell r="R125" t="str">
            <v>IMPLEMENTACIÓN Y FORTALECIMIENTO DE LAS POLITICAS LIDERADAS POR FUNCION PUBLICA A NIVEL NACIONAL</v>
          </cell>
          <cell r="S125" t="str">
            <v>CSF</v>
          </cell>
          <cell r="T125" t="str">
            <v>17618-2018 22 Enero 2018</v>
          </cell>
          <cell r="U125" t="str">
            <v>N/A</v>
          </cell>
          <cell r="V125" t="str">
            <v>N/A</v>
          </cell>
          <cell r="W125" t="str">
            <v>N/A</v>
          </cell>
          <cell r="X125" t="str">
            <v>Cinco (5) meses, contado a partir del perfeccionamiento del mismo y registro presupuestal.</v>
          </cell>
          <cell r="Y125">
            <v>43122</v>
          </cell>
          <cell r="Z125">
            <v>43272</v>
          </cell>
          <cell r="AA125">
            <v>150</v>
          </cell>
          <cell r="AB125" t="str">
            <v xml:space="preserve"> </v>
          </cell>
          <cell r="AC125">
            <v>43272</v>
          </cell>
          <cell r="AD125" t="str">
            <v xml:space="preserve">LUIS FERNANDO NUÑEZ RINCÓN </v>
          </cell>
          <cell r="AE125" t="str">
            <v>DIRECCION JURIDICA</v>
          </cell>
          <cell r="AF125"/>
          <cell r="AG125"/>
          <cell r="AH125"/>
          <cell r="AI125"/>
          <cell r="AJ125">
            <v>23.333333333333332</v>
          </cell>
          <cell r="AK125"/>
          <cell r="AL125" t="str">
            <v xml:space="preserve">6118 </v>
          </cell>
        </row>
        <row r="126">
          <cell r="A126">
            <v>134</v>
          </cell>
          <cell r="B126" t="str">
            <v>125-2018</v>
          </cell>
          <cell r="C126" t="str">
            <v>WILLIAM JAVIER PINTO SOLER</v>
          </cell>
          <cell r="D126">
            <v>1</v>
          </cell>
          <cell r="E126" t="str">
            <v>C.C.</v>
          </cell>
          <cell r="F126">
            <v>9149201</v>
          </cell>
          <cell r="G126" t="str">
            <v>HOMBRE</v>
          </cell>
          <cell r="H126">
            <v>43122</v>
          </cell>
          <cell r="I126" t="str">
            <v>Prestar servicios profesionales en la Oficina Asesora de Comunicaciones, para apoyar el mantenimiento y programación de los contenidos del sitio web de la Entidad y la producción de las piezas audiovisuales, en el marco de la Estrategia de Comunicaciones de Función Pública.</v>
          </cell>
          <cell r="J126" t="str">
            <v>CONTRATACIÓN DIRECTA</v>
          </cell>
          <cell r="K126" t="str">
            <v>PRESTACION DE SERVICIOS PROFESIONALES</v>
          </cell>
          <cell r="L126" t="str">
            <v xml:space="preserve">(8) $ 6.000.000                        </v>
          </cell>
          <cell r="M126">
            <v>48000000</v>
          </cell>
          <cell r="N126"/>
          <cell r="O126">
            <v>48000000</v>
          </cell>
          <cell r="P126" t="str">
            <v>Ocho (8) mensualidades vencidas, cada una por valor de SEIS MILLONES DE PESOS ($6´000.000) M/CTE.</v>
          </cell>
          <cell r="Q126" t="str">
            <v>10618  2018 11 Enero 2018</v>
          </cell>
          <cell r="R126" t="str">
            <v>IMPLEMENTACIÓN Y FORTALECIMIENTO DE LAS POLITICAS LIDERADAS POR FUNCION PUBLICA A NIVEL NACIONAL</v>
          </cell>
          <cell r="S126" t="str">
            <v>SSF</v>
          </cell>
          <cell r="T126" t="str">
            <v>19118-2018 26 Enero 2018</v>
          </cell>
          <cell r="U126" t="str">
            <v>N/A</v>
          </cell>
          <cell r="V126" t="str">
            <v>N/A</v>
          </cell>
          <cell r="W126" t="str">
            <v>N/A</v>
          </cell>
          <cell r="X126" t="str">
            <v>Ocho (8) meses, contado a partir del perfeccionamiento del mismo y registro presupuestal.</v>
          </cell>
          <cell r="Y126">
            <v>43126</v>
          </cell>
          <cell r="Z126">
            <v>43368</v>
          </cell>
          <cell r="AA126">
            <v>242</v>
          </cell>
          <cell r="AB126" t="str">
            <v xml:space="preserve"> </v>
          </cell>
          <cell r="AC126">
            <v>43368</v>
          </cell>
          <cell r="AD126" t="str">
            <v>DIANA MARIA BOHORQUEZ LOSADA</v>
          </cell>
          <cell r="AE126" t="str">
            <v>OFICINA ASESORA DE COMUNICACIONES</v>
          </cell>
          <cell r="AF126"/>
          <cell r="AG126"/>
          <cell r="AH126"/>
          <cell r="AI126"/>
          <cell r="AJ126">
            <v>12.809917355371899</v>
          </cell>
          <cell r="AK126"/>
          <cell r="AL126" t="str">
            <v>10618</v>
          </cell>
        </row>
        <row r="127">
          <cell r="A127">
            <v>172</v>
          </cell>
          <cell r="B127" t="str">
            <v>126-2018</v>
          </cell>
          <cell r="C127" t="str">
            <v>EDGAR ALBERTO SIMBAQUEBA MORENO</v>
          </cell>
          <cell r="D127">
            <v>1</v>
          </cell>
          <cell r="E127" t="str">
            <v>C.C.</v>
          </cell>
          <cell r="F127">
            <v>13824476</v>
          </cell>
          <cell r="G127" t="str">
            <v>MUJER</v>
          </cell>
          <cell r="H127">
            <v>43122</v>
          </cell>
          <cell r="I127" t="str">
            <v>Prestar servicios profesionales a la Dirección de Desarrollo Organizacional de Función Pública, para apoyar la implementación de la Estrategia de Gestión Territorial, en las entidades de los municipios de los departamentos que le sean asignados.</v>
          </cell>
          <cell r="J127" t="str">
            <v>CONTRATACIÓN DIRECTA</v>
          </cell>
          <cell r="K127" t="str">
            <v>PRESTACION DE SERVICIOS PROFESIONALES</v>
          </cell>
          <cell r="L127" t="str">
            <v xml:space="preserve">(8) $ 9.000.000                        </v>
          </cell>
          <cell r="M127">
            <v>72000000</v>
          </cell>
          <cell r="N127"/>
          <cell r="O127">
            <v>72000000</v>
          </cell>
          <cell r="P127" t="str">
            <v>ocho (8) mensualidades vencidas, cada una por valor de NUEVE MILLONES DE PESOS ($9.000.000) M/CTE.</v>
          </cell>
          <cell r="Q127" t="str">
            <v>14318  2018 11 Enero 2018</v>
          </cell>
          <cell r="R127" t="str">
            <v>DESARROLLO Y FORTALECIMIENTO DE CAPACIDADES DE LAS ENTIDADES TERRITORIALES DE LA CIRCUNSCRIPCIÓN NACIONAL</v>
          </cell>
          <cell r="S127" t="str">
            <v>SSF</v>
          </cell>
          <cell r="T127" t="str">
            <v>18018-2018 24 Enero 2018</v>
          </cell>
          <cell r="U127" t="str">
            <v>N/A</v>
          </cell>
          <cell r="V127" t="str">
            <v>N/A</v>
          </cell>
          <cell r="W127" t="str">
            <v>N/A</v>
          </cell>
          <cell r="X127" t="str">
            <v>Ocho (8) meses, contado a partir del perfeccionamiento del mismo y registro presupuestal.</v>
          </cell>
          <cell r="Y127">
            <v>43124</v>
          </cell>
          <cell r="Z127">
            <v>43366</v>
          </cell>
          <cell r="AA127">
            <v>242</v>
          </cell>
          <cell r="AB127" t="str">
            <v xml:space="preserve"> </v>
          </cell>
          <cell r="AC127">
            <v>43366</v>
          </cell>
          <cell r="AD127" t="str">
            <v xml:space="preserve">ALEJANDRO BECKER ROJAS </v>
          </cell>
          <cell r="AE127" t="str">
            <v xml:space="preserve">DIRECCION DE DESARROLLO ORGANIZACIONAL  </v>
          </cell>
          <cell r="AF127"/>
          <cell r="AG127"/>
          <cell r="AH127"/>
          <cell r="AI127"/>
          <cell r="AJ127">
            <v>13.636363636363635</v>
          </cell>
          <cell r="AK127"/>
          <cell r="AL127" t="str">
            <v>14318</v>
          </cell>
        </row>
        <row r="128">
          <cell r="A128">
            <v>167</v>
          </cell>
          <cell r="B128" t="str">
            <v>127-2018</v>
          </cell>
          <cell r="C128" t="str">
            <v>CARLOS AUGUSTO GIRALDO BERMUDEZ</v>
          </cell>
          <cell r="D128">
            <v>1</v>
          </cell>
          <cell r="E128" t="str">
            <v>C.C.</v>
          </cell>
          <cell r="F128">
            <v>71875281</v>
          </cell>
          <cell r="G128" t="str">
            <v>HOMBRE</v>
          </cell>
          <cell r="H128">
            <v>43122</v>
          </cell>
          <cell r="I128" t="str">
            <v>Prestar servicios profesionales a la Dirección de Desarrollo Organizacional de Función Pública, para facilitar talleres de entrenamiento y ralizar observación a jornadas de asesoría en territorio, para el mejoramiento y fortalecimiento de capacidades y habilidades de los servidores de la entidad.</v>
          </cell>
          <cell r="J128" t="str">
            <v>CONTRATACIÓN DIRECTA</v>
          </cell>
          <cell r="K128" t="str">
            <v>PRESTACION DE SERVICIOS PROFESIONALES</v>
          </cell>
          <cell r="L128" t="str">
            <v xml:space="preserve">(7) $ 6.000.000                        </v>
          </cell>
          <cell r="M128">
            <v>42000000</v>
          </cell>
          <cell r="N128"/>
          <cell r="O128">
            <v>42000000</v>
          </cell>
          <cell r="P128" t="str">
            <v>Tres (3) pagos asi: a) Un (1) primer pago a los tres meses de ejecución del contrato,  por valor de CATORCE MILLONES DE PESOS ($14´000.000) M/CTE. b) Un segundo (2) pago a los seis (6) meses de ejecución del contrato,  por valor de CATORCE MILLONES DE PESOS ($14´000.000) M/CTE. c) Un tercer y último pago, por valor de CATORCE MILLONES DE PESOS ($14´000.000) M/CTE.</v>
          </cell>
          <cell r="Q128" t="str">
            <v>13818  2018 11 Enero 2018</v>
          </cell>
          <cell r="R128" t="str">
            <v>DESARROLLO Y FORTALECIMIENTO DE CAPACIDADES DE LAS ENTIDADES TERRITORIALES DE LA CIRCUNSCRIPCIÓN NACIONAL</v>
          </cell>
          <cell r="S128" t="str">
            <v>SSF</v>
          </cell>
          <cell r="T128" t="str">
            <v>18818-2018 25 Enero 2018</v>
          </cell>
          <cell r="U128" t="str">
            <v>N/A</v>
          </cell>
          <cell r="V128" t="str">
            <v>N/A</v>
          </cell>
          <cell r="W128" t="str">
            <v>N/A</v>
          </cell>
          <cell r="X128" t="str">
            <v>Siete (7) meses, contado a partir del perfeccionamiento del mismo y registro presupuestal.</v>
          </cell>
          <cell r="Y128">
            <v>43125</v>
          </cell>
          <cell r="Z128">
            <v>43333</v>
          </cell>
          <cell r="AA128">
            <v>208</v>
          </cell>
          <cell r="AB128" t="str">
            <v xml:space="preserve"> </v>
          </cell>
          <cell r="AC128">
            <v>43333</v>
          </cell>
          <cell r="AD128" t="str">
            <v xml:space="preserve">ALEJANDRO BECKER ROJAS </v>
          </cell>
          <cell r="AE128" t="str">
            <v xml:space="preserve">DIRECCION DE DESARROLLO ORGANIZACIONAL  </v>
          </cell>
          <cell r="AF128"/>
          <cell r="AG128"/>
          <cell r="AH128"/>
          <cell r="AI128"/>
          <cell r="AJ128">
            <v>15.384615384615385</v>
          </cell>
          <cell r="AK128"/>
          <cell r="AL128" t="str">
            <v>13818</v>
          </cell>
        </row>
        <row r="129">
          <cell r="A129">
            <v>164</v>
          </cell>
          <cell r="B129" t="str">
            <v>128-2018</v>
          </cell>
          <cell r="C129" t="str">
            <v>GABRIEL HERNAN MOLANO</v>
          </cell>
          <cell r="D129">
            <v>1</v>
          </cell>
          <cell r="E129" t="str">
            <v>C.C.</v>
          </cell>
          <cell r="F129">
            <v>12272809</v>
          </cell>
          <cell r="G129" t="str">
            <v>HOMBRE</v>
          </cell>
          <cell r="H129">
            <v>43122</v>
          </cell>
          <cell r="I129" t="str">
            <v>Prestar servicios profesionales en la Dirección de Desarrollo Organizacional de Función Pública para apoyar el manejo, organización y presentación de la información, de las asesorías técnicas brindadas a las entidades territoriales, en la tercera fase de la Estrategia de Gestión Territorial.</v>
          </cell>
          <cell r="J129" t="str">
            <v>CONTRATACIÓN DIRECTA</v>
          </cell>
          <cell r="K129" t="str">
            <v>PRESTACION DE SERVICIOS PROFESIONALES</v>
          </cell>
          <cell r="L129" t="str">
            <v xml:space="preserve">(8) $ 4.000.000                        </v>
          </cell>
          <cell r="M129">
            <v>32000000</v>
          </cell>
          <cell r="N129"/>
          <cell r="O129">
            <v>32000000</v>
          </cell>
          <cell r="P129" t="str">
            <v>Ocho (8) mensualidades vencidas, cada una por valor de CUATRO MILLONES DE PESOS ($4´000.000) M/CTE.</v>
          </cell>
          <cell r="Q129" t="str">
            <v>13518  2018 11 Enero 2018</v>
          </cell>
          <cell r="R129" t="str">
            <v>DESARROLLO Y FORTALECIMIENTO DE CAPACIDADES DE LAS ENTIDADES TERRITORIALES DE LA CIRCUNSCRIPCIÓN NACIONAL</v>
          </cell>
          <cell r="S129" t="str">
            <v>SSF</v>
          </cell>
          <cell r="T129" t="str">
            <v>18118-2018 24 Enero 2018</v>
          </cell>
          <cell r="U129" t="str">
            <v>N/A</v>
          </cell>
          <cell r="V129" t="str">
            <v>N/A</v>
          </cell>
          <cell r="W129" t="str">
            <v>N/A</v>
          </cell>
          <cell r="X129" t="str">
            <v>Ocho (8) meses, contado a partir del perfeccionamiento del mismo y registro presupuestal.</v>
          </cell>
          <cell r="Y129">
            <v>43124</v>
          </cell>
          <cell r="Z129">
            <v>43366</v>
          </cell>
          <cell r="AA129">
            <v>242</v>
          </cell>
          <cell r="AB129" t="str">
            <v xml:space="preserve"> </v>
          </cell>
          <cell r="AC129">
            <v>43366</v>
          </cell>
          <cell r="AD129" t="str">
            <v xml:space="preserve">ALEJANDRO BECKER ROJAS </v>
          </cell>
          <cell r="AE129" t="str">
            <v xml:space="preserve">DIRECCION DE DESARROLLO ORGANIZACIONAL  </v>
          </cell>
          <cell r="AF129"/>
          <cell r="AG129"/>
          <cell r="AH129"/>
          <cell r="AI129"/>
          <cell r="AJ129">
            <v>13.636363636363635</v>
          </cell>
          <cell r="AK129"/>
          <cell r="AL129" t="str">
            <v>13518</v>
          </cell>
        </row>
        <row r="130">
          <cell r="A130">
            <v>125</v>
          </cell>
          <cell r="B130" t="str">
            <v>129-2018</v>
          </cell>
          <cell r="C130" t="str">
            <v>JUAN MANUEL CHARRY URUEÑA</v>
          </cell>
          <cell r="D130">
            <v>1</v>
          </cell>
          <cell r="E130" t="str">
            <v>C.C.</v>
          </cell>
          <cell r="F130">
            <v>79147236</v>
          </cell>
          <cell r="G130" t="str">
            <v>MUJER</v>
          </cell>
          <cell r="H130">
            <v>43123</v>
          </cell>
          <cell r="I130" t="str">
            <v>Prestar servicios profesionales en la Dirección de Gestión del Conocimiento de Función Pública para apoyar la elaboración de un documento especializado que contenga el desarrollo normativo y avance jurisprudencial que regía en Colombia antes de la Constitución de 1991 y hasta la fecha, así como éstos han contribuido al mejoramiento de la administración pública, en temas de competencia de Función Pública.</v>
          </cell>
          <cell r="J130" t="str">
            <v>CONTRATACIÓN DIRECTA</v>
          </cell>
          <cell r="K130" t="str">
            <v>PRESTACION DE SERVICIOS PROFESIONALES</v>
          </cell>
          <cell r="L130" t="str">
            <v xml:space="preserve">(2) $ 7.500.000                        </v>
          </cell>
          <cell r="M130">
            <v>15000000</v>
          </cell>
          <cell r="N130"/>
          <cell r="O130">
            <v>15000000</v>
          </cell>
          <cell r="P130" t="str">
            <v>Dos (2) mensualidades vencidas, cada una por valor de SIETE MILLONES QUINIENTOS MIL PESOS ($7’500.000) M/CTE.</v>
          </cell>
          <cell r="Q130" t="str">
            <v>9718  2018 11 Enero 2018</v>
          </cell>
          <cell r="R130" t="str">
            <v>IMPLEMENTACIÓN Y FORTALECIMIENTO DE LAS POLITICAS LIDERADAS POR FUNCION PUBLICA A NIVEL NACIONAL</v>
          </cell>
          <cell r="S130" t="str">
            <v>SSF</v>
          </cell>
          <cell r="T130" t="str">
            <v>18318-2018 25 Enero 2018</v>
          </cell>
          <cell r="U130" t="str">
            <v>N/A</v>
          </cell>
          <cell r="V130" t="str">
            <v>N/A</v>
          </cell>
          <cell r="W130" t="str">
            <v>N/A</v>
          </cell>
          <cell r="X130" t="str">
            <v>Dos (2) meses, contado a partir del perfeccionamiento del mismo y registro presupuestal.</v>
          </cell>
          <cell r="Y130">
            <v>43125</v>
          </cell>
          <cell r="Z130">
            <v>43183</v>
          </cell>
          <cell r="AA130">
            <v>58</v>
          </cell>
          <cell r="AB130" t="str">
            <v xml:space="preserve"> </v>
          </cell>
          <cell r="AC130">
            <v>43183</v>
          </cell>
          <cell r="AD130" t="str">
            <v xml:space="preserve">DIEGO ALEJANDRO BELTRAN OGILVIE-BROWNE </v>
          </cell>
          <cell r="AE130" t="str">
            <v>DIRECCION DE GESTION DEL CONOCIMIENTO</v>
          </cell>
          <cell r="AF130"/>
          <cell r="AG130"/>
          <cell r="AH130"/>
          <cell r="AI130"/>
          <cell r="AJ130">
            <v>55.172413793103445</v>
          </cell>
          <cell r="AK130"/>
          <cell r="AL130" t="str">
            <v xml:space="preserve">9718 </v>
          </cell>
        </row>
        <row r="131">
          <cell r="A131">
            <v>149</v>
          </cell>
          <cell r="B131" t="str">
            <v>130-2018</v>
          </cell>
          <cell r="C131" t="str">
            <v>KAREN VANESSA MUÑOZ GULFO</v>
          </cell>
          <cell r="D131">
            <v>1</v>
          </cell>
          <cell r="E131" t="str">
            <v>C.C.</v>
          </cell>
          <cell r="F131">
            <v>1128055648</v>
          </cell>
          <cell r="G131" t="str">
            <v>MUJER</v>
          </cell>
          <cell r="H131">
            <v>43123</v>
          </cell>
          <cell r="I131" t="str">
            <v>Prestar servicios profesionales para apoyar a la Dirección de Gestión y Desempeño Institucional, en la ejecución de las actividades necesarias, para el establecimiento de los criterios diferenciales de las politicas de Gestión y Desempeño y de Control Interno, con los lideres de dichas politicas.</v>
          </cell>
          <cell r="J131" t="str">
            <v>CONTRATACIÓN DIRECTA</v>
          </cell>
          <cell r="K131" t="str">
            <v>PRESTACION DE SERVICIOS PROFESIONALES</v>
          </cell>
          <cell r="L131" t="str">
            <v xml:space="preserve">(6) $ 5.350.000                        </v>
          </cell>
          <cell r="M131">
            <v>32100000</v>
          </cell>
          <cell r="N131"/>
          <cell r="O131">
            <v>32100000</v>
          </cell>
          <cell r="P131" t="str">
            <v>Seis (6) mensualidades vencidas, cada una por valor de CINCO MILLONES TRESCIENTOS CINCUENTA MIL PESOS ($5´350.000) M/CTE.</v>
          </cell>
          <cell r="Q131" t="str">
            <v>12018  2018 11 Enero 2018</v>
          </cell>
          <cell r="R131" t="str">
            <v>IMPLEMENTACIÓN Y FORTALECIMIENTO DE LAS POLITICAS LIDERADAS POR FUNCION PUBLICA A NIVEL NACIONAL</v>
          </cell>
          <cell r="S131" t="str">
            <v>SSF</v>
          </cell>
          <cell r="T131" t="str">
            <v>18418-2018 25 Enero 2018</v>
          </cell>
          <cell r="U131" t="str">
            <v>N/A</v>
          </cell>
          <cell r="V131" t="str">
            <v>N/A</v>
          </cell>
          <cell r="W131" t="str">
            <v>N/A</v>
          </cell>
          <cell r="X131" t="str">
            <v>Seis (6) meses, contado a partir del perfeccionamiento del mismo y registro presupuestal.</v>
          </cell>
          <cell r="Y131">
            <v>43125</v>
          </cell>
          <cell r="Z131">
            <v>43305</v>
          </cell>
          <cell r="AA131">
            <v>180</v>
          </cell>
          <cell r="AB131" t="str">
            <v xml:space="preserve"> </v>
          </cell>
          <cell r="AC131">
            <v>43305</v>
          </cell>
          <cell r="AD131" t="str">
            <v>DIANA MARIA CALDAS GUALTEROS</v>
          </cell>
          <cell r="AE131" t="str">
            <v>DIRECCION DE GESTION Y DESEMPEÑO INSTITUCIONAL</v>
          </cell>
          <cell r="AF131"/>
          <cell r="AG131"/>
          <cell r="AH131"/>
          <cell r="AI131"/>
          <cell r="AJ131">
            <v>17.777777777777779</v>
          </cell>
          <cell r="AK131"/>
          <cell r="AL131" t="str">
            <v>12018</v>
          </cell>
        </row>
        <row r="132">
          <cell r="A132">
            <v>214</v>
          </cell>
          <cell r="B132" t="str">
            <v>131-2018</v>
          </cell>
          <cell r="C132" t="str">
            <v>NATALIA CARRILLO MOLINA</v>
          </cell>
          <cell r="D132">
            <v>1</v>
          </cell>
          <cell r="E132" t="str">
            <v>C.C.</v>
          </cell>
          <cell r="F132">
            <v>52706128</v>
          </cell>
          <cell r="G132" t="str">
            <v>MUJER</v>
          </cell>
          <cell r="H132">
            <v>43123</v>
          </cell>
          <cell r="I132" t="str">
            <v>Prestar servicios profesionales a Función Pública, para apoyar en la organización de la logistica, realización y ejecución de los eventos que requiera la entidad.</v>
          </cell>
          <cell r="J132" t="str">
            <v>CONTRATACIÓN DIRECTA</v>
          </cell>
          <cell r="K132" t="str">
            <v>PRESTACION DE SERVICIOS PROFESIONALES</v>
          </cell>
          <cell r="L132" t="str">
            <v xml:space="preserve">(8) $ 4.500.000                        </v>
          </cell>
          <cell r="M132">
            <v>36000000</v>
          </cell>
          <cell r="N132"/>
          <cell r="O132">
            <v>36000000</v>
          </cell>
          <cell r="P132" t="str">
            <v>Ocho (8) mensualidades vencidas, cada una por valor de CUATRO MILLONES QUINIENTOS MIL PESOS ($4´500.000) M/CTE.</v>
          </cell>
          <cell r="Q132" t="str">
            <v>18218  2018 22 Enero 2018</v>
          </cell>
          <cell r="R132" t="str">
            <v>IMPLEMENTACIÓN Y FORTALECIMIENTO DE LAS POLITICAS LIDERADAS POR FUNCION PUBLICA A NIVEL NACIONAL</v>
          </cell>
          <cell r="S132" t="str">
            <v>SSF</v>
          </cell>
          <cell r="T132" t="str">
            <v>19218-2018 26 Enero 2018</v>
          </cell>
          <cell r="U132" t="str">
            <v>N/A</v>
          </cell>
          <cell r="V132" t="str">
            <v>N/A</v>
          </cell>
          <cell r="W132" t="str">
            <v>N/A</v>
          </cell>
          <cell r="X132" t="str">
            <v>Ocho (8) meses, contado a partir del perfeccionamiento del mismo y registro presupuestal.</v>
          </cell>
          <cell r="Y132">
            <v>43126</v>
          </cell>
          <cell r="Z132">
            <v>43368</v>
          </cell>
          <cell r="AA132">
            <v>242</v>
          </cell>
          <cell r="AB132" t="str">
            <v xml:space="preserve"> </v>
          </cell>
          <cell r="AC132">
            <v>43368</v>
          </cell>
          <cell r="AD132" t="str">
            <v>JULIAN MAURICIO MARTINEZ ALVARADO</v>
          </cell>
          <cell r="AE132" t="str">
            <v xml:space="preserve">GRUPO DE GESTION ADMINISTRATIVA </v>
          </cell>
          <cell r="AF132"/>
          <cell r="AG132"/>
          <cell r="AH132"/>
          <cell r="AI132"/>
          <cell r="AJ132">
            <v>12.809917355371899</v>
          </cell>
          <cell r="AK132"/>
          <cell r="AL132" t="str">
            <v>18218</v>
          </cell>
        </row>
        <row r="133">
          <cell r="A133">
            <v>127</v>
          </cell>
          <cell r="B133" t="str">
            <v>132-2018</v>
          </cell>
          <cell r="C133" t="str">
            <v>ELISABETH UNGAR BLEIER</v>
          </cell>
          <cell r="D133">
            <v>1</v>
          </cell>
          <cell r="E133" t="str">
            <v>C.C.</v>
          </cell>
          <cell r="F133">
            <v>41498814</v>
          </cell>
          <cell r="G133" t="str">
            <v>MUJER</v>
          </cell>
          <cell r="H133">
            <v>43123</v>
          </cell>
          <cell r="I133" t="str">
            <v>Prestar servicios profesionales en la Dirección de Participación, Transparencia y Servicio al Ciudadano de Función Pública, para apoyar la revisión de los productos de análisis y política de ésta Dirección y su pertinencia, así como proponer mejoras a los mismos, para fortalecer el posicionamiento de las políticas de relación Estado-ciudadano a cargo de la Entidad.</v>
          </cell>
          <cell r="J133" t="str">
            <v>CONTRATACIÓN DIRECTA</v>
          </cell>
          <cell r="K133" t="str">
            <v>PRESTACION DE SERVICIOS PROFESIONALES</v>
          </cell>
          <cell r="L133" t="str">
            <v xml:space="preserve">(3) $ 15.000.000                        </v>
          </cell>
          <cell r="M133">
            <v>45000000</v>
          </cell>
          <cell r="N133"/>
          <cell r="O133">
            <v>45000000</v>
          </cell>
          <cell r="P133" t="str">
            <v>Tres (3) mensualidades vencidas, cada una por valor de QUINCE MILLONES DE PESOS ($15’000.000) M/CTE.</v>
          </cell>
          <cell r="Q133" t="str">
            <v>9918  2018 11 Enero 2018</v>
          </cell>
          <cell r="R133" t="str">
            <v>IMPLEMENTACIÓN Y FORTALECIMIENTO DE LAS POLITICAS LIDERADAS POR FUNCION PUBLICA A NIVEL NACIONAL</v>
          </cell>
          <cell r="S133" t="str">
            <v>SSF</v>
          </cell>
          <cell r="T133" t="str">
            <v>18518-2018 25 Enero 2018</v>
          </cell>
          <cell r="U133" t="str">
            <v>N/A</v>
          </cell>
          <cell r="V133" t="str">
            <v>N/A</v>
          </cell>
          <cell r="W133" t="str">
            <v>N/A</v>
          </cell>
          <cell r="X133" t="str">
            <v>Tres (3) meses, contado a partir del perfeccionamiento del mismo y registro presupuestal.</v>
          </cell>
          <cell r="Y133">
            <v>43125</v>
          </cell>
          <cell r="Z133">
            <v>43214</v>
          </cell>
          <cell r="AA133">
            <v>89</v>
          </cell>
          <cell r="AB133" t="str">
            <v xml:space="preserve"> </v>
          </cell>
          <cell r="AC133">
            <v>43214</v>
          </cell>
          <cell r="AD133" t="str">
            <v>FERNANDO AUGUSTO SEGURA RESTREPO</v>
          </cell>
          <cell r="AE133" t="str">
            <v>DIRECCION DE PARTICIPACION, TRANSPARENCIA Y SERVICIO AL CIUDADANO</v>
          </cell>
          <cell r="AF133"/>
          <cell r="AG133"/>
          <cell r="AH133"/>
          <cell r="AI133"/>
          <cell r="AJ133">
            <v>35.955056179775283</v>
          </cell>
          <cell r="AK133"/>
          <cell r="AL133" t="str">
            <v xml:space="preserve">9918 </v>
          </cell>
        </row>
        <row r="134">
          <cell r="A134">
            <v>122</v>
          </cell>
          <cell r="B134" t="str">
            <v>133-2018</v>
          </cell>
          <cell r="C134" t="str">
            <v>LORENA CATALINA RODRIGUEZ MORENO</v>
          </cell>
          <cell r="D134">
            <v>1</v>
          </cell>
          <cell r="E134" t="str">
            <v>C.C.</v>
          </cell>
          <cell r="F134">
            <v>1032446211</v>
          </cell>
          <cell r="G134" t="str">
            <v>MUJER</v>
          </cell>
          <cell r="H134">
            <v>43124</v>
          </cell>
          <cell r="I134" t="str">
            <v>Prestar servicios profesionales en la Dirección General de Función Pública, para apoyar la elaboración, implementación, revisión de resultados y divulgación de indicadores y otras herramientas de seguimiento, para la Estrategia de Cambio Cultural.</v>
          </cell>
          <cell r="J134" t="str">
            <v>CONTRATACIÓN DIRECTA</v>
          </cell>
          <cell r="K134" t="str">
            <v>PRESTACION DE SERVICIOS PROFESIONALES</v>
          </cell>
          <cell r="L134" t="str">
            <v xml:space="preserve">(8) $ 3.895.000                        </v>
          </cell>
          <cell r="M134">
            <v>31160000</v>
          </cell>
          <cell r="N134"/>
          <cell r="O134">
            <v>31160000</v>
          </cell>
          <cell r="P134" t="str">
            <v>Ocho (8) mensualidades vencidas, cada una por valor de TRES MILLONES OCHOCIENTOS NOVENTA Y CINCO MIL PESOS ($3´895.000) M/CTE.</v>
          </cell>
          <cell r="Q134" t="str">
            <v>9418  2018 11 Enero 2018</v>
          </cell>
          <cell r="R134" t="str">
            <v>IMPLEMENTACIÓN Y FORTALECIMIENTO DE LAS POLITICAS LIDERADAS POR FUNCION PUBLICA A NIVEL NACIONAL</v>
          </cell>
          <cell r="S134" t="str">
            <v>SSF</v>
          </cell>
          <cell r="T134" t="str">
            <v>18218-2018 24 Enero 2018</v>
          </cell>
          <cell r="U134" t="str">
            <v>N/A</v>
          </cell>
          <cell r="V134" t="str">
            <v>N/A</v>
          </cell>
          <cell r="W134" t="str">
            <v>N/A</v>
          </cell>
          <cell r="X134" t="str">
            <v>Ocho (8) meses, contado a partir del perfeccionamiento del mismo y registro presupuestal.</v>
          </cell>
          <cell r="Y134">
            <v>43124</v>
          </cell>
          <cell r="Z134">
            <v>43366</v>
          </cell>
          <cell r="AA134">
            <v>242</v>
          </cell>
          <cell r="AB134" t="str">
            <v xml:space="preserve"> </v>
          </cell>
          <cell r="AC134">
            <v>43366</v>
          </cell>
          <cell r="AD134" t="str">
            <v xml:space="preserve">EDINSON GABRIEL MALAGÓN MAYORGA </v>
          </cell>
          <cell r="AE134" t="str">
            <v>DIRECCION GENERAL</v>
          </cell>
          <cell r="AF134" t="str">
            <v>LAURA CORDOBA REYES</v>
          </cell>
          <cell r="AG134"/>
          <cell r="AH134"/>
          <cell r="AI134"/>
          <cell r="AJ134">
            <v>13.636363636363635</v>
          </cell>
          <cell r="AK134"/>
          <cell r="AL134" t="str">
            <v xml:space="preserve">9418 </v>
          </cell>
        </row>
        <row r="135">
          <cell r="A135">
            <v>216</v>
          </cell>
          <cell r="B135" t="str">
            <v>134-2018</v>
          </cell>
          <cell r="C135" t="str">
            <v>SILVIA LUCIA FORERO CASTAÑEDA</v>
          </cell>
          <cell r="D135">
            <v>1</v>
          </cell>
          <cell r="E135" t="str">
            <v>C.C.</v>
          </cell>
          <cell r="F135">
            <v>1020750057</v>
          </cell>
          <cell r="G135" t="str">
            <v>MUJER</v>
          </cell>
          <cell r="H135">
            <v>43124</v>
          </cell>
          <cell r="I135" t="str">
            <v>Prestar servicios profesionales en la Subdirección de Función Pública, para apoyar en la revisión y consolidación de los resultados de las políticas a cargo de la entidad, así como en la elaboración de los documentos resultantes de las mismas.</v>
          </cell>
          <cell r="J135" t="str">
            <v>CONTRATACIÓN DIRECTA</v>
          </cell>
          <cell r="K135" t="str">
            <v>PRESTACION DE SERVICIOS PROFESIONALES</v>
          </cell>
          <cell r="L135" t="str">
            <v xml:space="preserve">(8) $ 5.953.000                        </v>
          </cell>
          <cell r="M135">
            <v>47624000</v>
          </cell>
          <cell r="N135"/>
          <cell r="O135">
            <v>47624000</v>
          </cell>
          <cell r="P135" t="str">
            <v>Ocho (8) mensualidades vencidas, cada una por valor de CINCO MILLONES NOVECIENTOS CINCUENTA Y TRES MIL PESOS ($5’953.000) M/CTE</v>
          </cell>
          <cell r="Q135" t="str">
            <v>17918  2018 19 Enero 2018</v>
          </cell>
          <cell r="R135" t="str">
            <v>IMPLEMENTACIÓN Y FORTALECIMIENTO DE LAS POLITICAS LIDERADAS POR FUNCION PUBLICA A NIVEL NACIONAL</v>
          </cell>
          <cell r="S135" t="str">
            <v>SSF</v>
          </cell>
          <cell r="T135" t="str">
            <v>19318-2018 26 Enero 2018</v>
          </cell>
          <cell r="U135" t="str">
            <v>N/A</v>
          </cell>
          <cell r="V135" t="str">
            <v>N/A</v>
          </cell>
          <cell r="W135" t="str">
            <v>N/A</v>
          </cell>
          <cell r="X135" t="str">
            <v>Ocho (8) meses, contado a partir del perfeccionamiento del mismo y registro presupuestal.</v>
          </cell>
          <cell r="Y135">
            <v>43126</v>
          </cell>
          <cell r="Z135">
            <v>43368</v>
          </cell>
          <cell r="AA135">
            <v>242</v>
          </cell>
          <cell r="AB135" t="str">
            <v xml:space="preserve"> </v>
          </cell>
          <cell r="AC135">
            <v>43368</v>
          </cell>
          <cell r="AD135" t="str">
            <v>FERNANDO AUGUSTO MEDINA GUTIERREZ</v>
          </cell>
          <cell r="AE135" t="str">
            <v>SUBDIRECCIÓN</v>
          </cell>
          <cell r="AF135"/>
          <cell r="AG135"/>
          <cell r="AH135"/>
          <cell r="AI135"/>
          <cell r="AJ135">
            <v>12.809917355371899</v>
          </cell>
          <cell r="AK135"/>
          <cell r="AL135" t="str">
            <v>17918</v>
          </cell>
        </row>
        <row r="136">
          <cell r="A136">
            <v>174</v>
          </cell>
          <cell r="B136" t="str">
            <v>135-2018</v>
          </cell>
          <cell r="C136" t="str">
            <v>RODOLFO RENGIFO VALENCIA</v>
          </cell>
          <cell r="D136">
            <v>1</v>
          </cell>
          <cell r="E136" t="str">
            <v>C.C.</v>
          </cell>
          <cell r="F136">
            <v>1130673116</v>
          </cell>
          <cell r="G136" t="str">
            <v>HOMBRE</v>
          </cell>
          <cell r="H136">
            <v>43124</v>
          </cell>
          <cell r="I136" t="str">
            <v>Prestar servicios profesionales a la Direccion de Desarrollo Organizacional de Función Pública, para apoyar la implementación de la Estrategia de Gestión Territorial, en las entidades de los municipios de los departamentos que le sean asignados.</v>
          </cell>
          <cell r="J136" t="str">
            <v>CONTRATACIÓN DIRECTA</v>
          </cell>
          <cell r="K136" t="str">
            <v>PRESTACION DE SERVICIOS PROFESIONALES</v>
          </cell>
          <cell r="L136" t="str">
            <v xml:space="preserve">(8) $ 9.000.000                        </v>
          </cell>
          <cell r="M136">
            <v>72000000</v>
          </cell>
          <cell r="N136"/>
          <cell r="O136">
            <v>72000000</v>
          </cell>
          <cell r="P136" t="str">
            <v>Ocho (8) mensualidades vencidas, cada una por valor de NUEVE MILLONES DE PESOS ($9’000.000) M/CTE</v>
          </cell>
          <cell r="Q136" t="str">
            <v>14418  2018 19 Enero 2018</v>
          </cell>
          <cell r="R136" t="str">
            <v>DESARROLLO Y FORTALECIMIENTO DE CAPACIDADES DE LAS ENTIDADES TERRITORIALES DE LA CIRCUNSCRIPCIÓN NACIONAL</v>
          </cell>
          <cell r="S136" t="str">
            <v>SSF</v>
          </cell>
          <cell r="T136" t="str">
            <v>19518-2018 26 Enero 2018</v>
          </cell>
          <cell r="U136" t="str">
            <v>N/A</v>
          </cell>
          <cell r="V136" t="str">
            <v>N/A</v>
          </cell>
          <cell r="W136" t="str">
            <v>N/A</v>
          </cell>
          <cell r="X136" t="str">
            <v>Ocho (8) meses, contado a partir del perfeccionamiento del mismo y registro presupuestal.</v>
          </cell>
          <cell r="Y136">
            <v>43126</v>
          </cell>
          <cell r="Z136">
            <v>43368</v>
          </cell>
          <cell r="AA136">
            <v>242</v>
          </cell>
          <cell r="AB136" t="str">
            <v xml:space="preserve"> </v>
          </cell>
          <cell r="AC136">
            <v>43368</v>
          </cell>
          <cell r="AD136" t="str">
            <v xml:space="preserve">ALEJANDRO BECKER ROJAS </v>
          </cell>
          <cell r="AE136" t="str">
            <v xml:space="preserve">DIRECCION DE DESARROLLO ORGANIZACIONAL  </v>
          </cell>
          <cell r="AF136"/>
          <cell r="AG136"/>
          <cell r="AH136"/>
          <cell r="AI136"/>
          <cell r="AJ136">
            <v>12.809917355371899</v>
          </cell>
          <cell r="AK136"/>
          <cell r="AL136" t="str">
            <v>14418</v>
          </cell>
        </row>
        <row r="137">
          <cell r="A137">
            <v>65</v>
          </cell>
          <cell r="B137" t="str">
            <v>136-2018</v>
          </cell>
          <cell r="C137" t="str">
            <v>EDINSON GABRIEL MALAGÓN MAYORGA</v>
          </cell>
          <cell r="D137">
            <v>2</v>
          </cell>
          <cell r="E137" t="str">
            <v>C.C.</v>
          </cell>
          <cell r="F137">
            <v>80153592</v>
          </cell>
          <cell r="G137" t="str">
            <v>HOMBRE</v>
          </cell>
          <cell r="H137">
            <v>43125</v>
          </cell>
          <cell r="I137" t="str">
            <v xml:space="preserve">Prestar servicios profesionales en la Dirección General de la Función Pública para apoyar la articulación, implementación, seguimiento y evaluación de la Estrategia de Pedagogía y Construcción de Paz y de la Estrategia de Cambio Cultural. </v>
          </cell>
          <cell r="J137" t="str">
            <v>CONTRATACIÓN DIRECTA</v>
          </cell>
          <cell r="K137" t="str">
            <v>PRESTACION DE SERVICIOS PROFESIONALES</v>
          </cell>
          <cell r="L137" t="str">
            <v xml:space="preserve">(5) $ 9.500.000                        </v>
          </cell>
          <cell r="M137">
            <v>47500000</v>
          </cell>
          <cell r="N137"/>
          <cell r="O137">
            <v>47500000</v>
          </cell>
          <cell r="P137" t="str">
            <v>Cinco (5) mensualidades vencidas, cada una por valor de NUEVE MILLONES QUINIENTOS MIL PESOS ($9.500.000) M/CTE.</v>
          </cell>
          <cell r="Q137" t="str">
            <v>2918  2018 04 Enero 2018</v>
          </cell>
          <cell r="R137" t="str">
            <v>IMPLEMENTACIÓN Y FORTALECIMIENTO DE LAS POLITICAS LIDERADAS POR FUNCION PUBLICA A NIVEL NACIONAL</v>
          </cell>
          <cell r="S137" t="str">
            <v>CSF</v>
          </cell>
          <cell r="T137" t="str">
            <v>18918-2018 25 Enero 2018</v>
          </cell>
          <cell r="U137" t="str">
            <v>N/A</v>
          </cell>
          <cell r="V137" t="str">
            <v>N/A</v>
          </cell>
          <cell r="W137" t="str">
            <v>N/A</v>
          </cell>
          <cell r="X137" t="str">
            <v>Cinco (05) meses, contado a partir del perfeccionamiento del mismo y registro presupuestal.</v>
          </cell>
          <cell r="Y137">
            <v>43125</v>
          </cell>
          <cell r="Z137">
            <v>43275</v>
          </cell>
          <cell r="AA137">
            <v>150</v>
          </cell>
          <cell r="AB137" t="str">
            <v xml:space="preserve"> </v>
          </cell>
          <cell r="AC137">
            <v>43275</v>
          </cell>
          <cell r="AD137" t="str">
            <v xml:space="preserve">SANTIAGO ARANGO CORRALES </v>
          </cell>
          <cell r="AE137" t="str">
            <v>DIRECCION GENERAL</v>
          </cell>
          <cell r="AF137" t="str">
            <v>LAURA CORDOBA REYES</v>
          </cell>
          <cell r="AG137"/>
          <cell r="AH137"/>
          <cell r="AI137"/>
          <cell r="AJ137">
            <v>21.333333333333336</v>
          </cell>
          <cell r="AK137"/>
          <cell r="AL137" t="str">
            <v xml:space="preserve">2918 </v>
          </cell>
        </row>
        <row r="138">
          <cell r="A138" t="str">
            <v>N/A</v>
          </cell>
          <cell r="B138" t="str">
            <v>137-2018</v>
          </cell>
          <cell r="C138" t="str">
            <v xml:space="preserve">DEFENSORÍA DEL PUEBLO </v>
          </cell>
          <cell r="D138">
            <v>1</v>
          </cell>
          <cell r="E138" t="str">
            <v>NIT</v>
          </cell>
          <cell r="F138" t="str">
            <v>800186061-1</v>
          </cell>
          <cell r="G138" t="str">
            <v>NO APLICA</v>
          </cell>
          <cell r="H138">
            <v>43125</v>
          </cell>
          <cell r="I138" t="str">
            <v xml:space="preserve">Aunar esfuerzos entre el DEPARTAMENTO ADMINISTRATIVO DE LA FUNCIÓN PÚBLICA y LA DEFENSORÍA DEL PUEBLO, para apoyar la elaboración de las pruebas de conocimiento y la aplicación de las pruebas comportamentales, con el fin de conformar y actualizar el Registro Nacional de Aspirantes de Defensoría Pública. </v>
          </cell>
          <cell r="J138" t="str">
            <v>CONVENIO</v>
          </cell>
          <cell r="K138" t="str">
            <v>CONVENIO INTERADMINISTRATIVO DE COOPERACIÓN</v>
          </cell>
          <cell r="L138" t="str">
            <v>N/A</v>
          </cell>
          <cell r="M138">
            <v>0</v>
          </cell>
          <cell r="N138"/>
          <cell r="O138">
            <v>0</v>
          </cell>
          <cell r="P138" t="str">
            <v>N/A</v>
          </cell>
          <cell r="Q138" t="str">
            <v>N/A</v>
          </cell>
          <cell r="R138" t="str">
            <v>N/A</v>
          </cell>
          <cell r="S138" t="str">
            <v>N/A</v>
          </cell>
          <cell r="T138" t="str">
            <v>N/A</v>
          </cell>
          <cell r="U138" t="str">
            <v>N/A</v>
          </cell>
          <cell r="V138" t="str">
            <v>N/A</v>
          </cell>
          <cell r="W138" t="str">
            <v>N/A</v>
          </cell>
          <cell r="X138" t="str">
            <v xml:space="preserve">El presente Convenio Interadministrativo de Cooperación, tendrá una duración de dos (2) años, contados a partir de la suscripción del mismo por las partes. </v>
          </cell>
          <cell r="Y138">
            <v>43125</v>
          </cell>
          <cell r="Z138">
            <v>43854</v>
          </cell>
          <cell r="AA138">
            <v>729</v>
          </cell>
          <cell r="AB138" t="str">
            <v xml:space="preserve"> </v>
          </cell>
          <cell r="AC138">
            <v>43854</v>
          </cell>
          <cell r="AD138" t="str">
            <v>FRANCISCO AMEZQUITA</v>
          </cell>
          <cell r="AE138" t="str">
            <v>GRUPO DE APOYO A LA MERITOCRACIA</v>
          </cell>
          <cell r="AF138"/>
          <cell r="AG138"/>
          <cell r="AH138"/>
          <cell r="AI138"/>
          <cell r="AJ138">
            <v>4.3895747599451296</v>
          </cell>
          <cell r="AK138"/>
          <cell r="AL138" t="str">
            <v>N/A</v>
          </cell>
        </row>
        <row r="139">
          <cell r="A139">
            <v>183</v>
          </cell>
          <cell r="B139" t="str">
            <v>138-2018</v>
          </cell>
          <cell r="C139" t="str">
            <v>PAOLA LILIANA QUIJANO BARÓN</v>
          </cell>
          <cell r="D139">
            <v>1</v>
          </cell>
          <cell r="E139" t="str">
            <v>C.C.</v>
          </cell>
          <cell r="F139">
            <v>1015998453</v>
          </cell>
          <cell r="G139" t="str">
            <v>MUJER</v>
          </cell>
          <cell r="H139">
            <v>43125</v>
          </cell>
          <cell r="I139" t="str">
            <v xml:space="preserve">Prestar servicios profesionales a Función Pública para apoyar la implementación del Modelo Integrado de Planeación y Gestión (MIPG) en las entidades del orden territorial que le sean asignadas, en desarrollo de la tercera fase de la Estrategia de Gestión </v>
          </cell>
          <cell r="J139" t="str">
            <v>CONTRATACIÓN DIRECTA</v>
          </cell>
          <cell r="K139" t="str">
            <v>PRESTACION DE SERVICIOS PROFESIONALES</v>
          </cell>
          <cell r="L139" t="str">
            <v xml:space="preserve">(7) $ 8.500.000                        </v>
          </cell>
          <cell r="M139">
            <v>59500000</v>
          </cell>
          <cell r="N139"/>
          <cell r="O139">
            <v>59500000</v>
          </cell>
          <cell r="P139" t="str">
            <v>Siete (7) mensualidades vencidas, cada una por valor de OCHO MILLONES QUINIENTOS MIL PESOS ($8.500.000) M/CTE.</v>
          </cell>
          <cell r="Q139" t="str">
            <v>15418  2018 11 Enero 2018</v>
          </cell>
          <cell r="R139" t="str">
            <v>DESARROLLO Y FORTALECIMIENTO DE CAPACIDADES DE LAS ENTIDADES TERRITORIALES DE LA CIRCUNSCRIPCIÓN NACIONAL</v>
          </cell>
          <cell r="S139" t="str">
            <v>SSF</v>
          </cell>
          <cell r="T139" t="str">
            <v>19618-2018 26 Enero 2018</v>
          </cell>
          <cell r="U139" t="str">
            <v>N/A</v>
          </cell>
          <cell r="V139" t="str">
            <v>N/A</v>
          </cell>
          <cell r="W139" t="str">
            <v>N/A</v>
          </cell>
          <cell r="X139" t="str">
            <v>Siete (7) meses, contado a partir del perfeccionamiento del mismo y registro presupuestal.</v>
          </cell>
          <cell r="Y139">
            <v>43126</v>
          </cell>
          <cell r="Z139">
            <v>43337</v>
          </cell>
          <cell r="AA139">
            <v>211</v>
          </cell>
          <cell r="AB139" t="str">
            <v xml:space="preserve"> </v>
          </cell>
          <cell r="AC139">
            <v>43337</v>
          </cell>
          <cell r="AD139" t="str">
            <v xml:space="preserve">ALEJANDRO BECKER ROJAS </v>
          </cell>
          <cell r="AE139" t="str">
            <v xml:space="preserve">DIRECCION DE DESARROLLO ORGANIZACIONAL  </v>
          </cell>
          <cell r="AF139"/>
          <cell r="AG139"/>
          <cell r="AH139"/>
          <cell r="AI139"/>
          <cell r="AJ139">
            <v>14.691943127962084</v>
          </cell>
          <cell r="AK139"/>
          <cell r="AL139" t="str">
            <v>15418</v>
          </cell>
        </row>
        <row r="140">
          <cell r="A140">
            <v>160</v>
          </cell>
          <cell r="B140" t="str">
            <v>139-2018</v>
          </cell>
          <cell r="C140" t="str">
            <v>MYRIAM ALINA ORMAZA ARANGO</v>
          </cell>
          <cell r="D140">
            <v>1</v>
          </cell>
          <cell r="E140" t="str">
            <v>C.C.</v>
          </cell>
          <cell r="F140">
            <v>34058214</v>
          </cell>
          <cell r="G140" t="str">
            <v>MUJER</v>
          </cell>
          <cell r="H140">
            <v>43125</v>
          </cell>
          <cell r="I140" t="str">
            <v>Prestar servicios profesionales en la Dirección Jurídica de Función Pública para apoyar la proyección y producción de conceptos en materia de inhabilidades e incompatibilidades, conflictos de interés, proyectos de ley que cursan en el Congreso de la República, ley de garantías electorales, ingreso, permanencia y retiro del servicio, estructura del estado y situaciones relacionadas con el desarrollo territorial.</v>
          </cell>
          <cell r="J140" t="str">
            <v>CONTRATACIÓN DIRECTA</v>
          </cell>
          <cell r="K140" t="str">
            <v>PRESTACION DE SERVICIOS PROFESIONALES</v>
          </cell>
          <cell r="L140" t="str">
            <v xml:space="preserve">(8) $ 6.000.000                        </v>
          </cell>
          <cell r="M140">
            <v>48000000</v>
          </cell>
          <cell r="N140"/>
          <cell r="O140">
            <v>48000000</v>
          </cell>
          <cell r="P140" t="str">
            <v>Ocho (8) mensualidades vencidas, cada una por valor de SEIS MILLONES DE PESOS ($6.000.000) M/CTE.</v>
          </cell>
          <cell r="Q140" t="str">
            <v>13118  2018 11 Enero 2018</v>
          </cell>
          <cell r="R140" t="str">
            <v>IMPLEMENTACIÓN Y FORTALECIMIENTO DE LAS POLITICAS LIDERADAS POR FUNCION PUBLICA A NIVEL NACIONAL</v>
          </cell>
          <cell r="S140" t="str">
            <v>SSF</v>
          </cell>
          <cell r="T140" t="str">
            <v>19818-2018 26 Enero 2018</v>
          </cell>
          <cell r="U140" t="str">
            <v>N/A</v>
          </cell>
          <cell r="V140" t="str">
            <v>N/A</v>
          </cell>
          <cell r="W140" t="str">
            <v>N/A</v>
          </cell>
          <cell r="X140" t="str">
            <v>Ocho (8) meses, contado a partir del perfeccionamiento del mismo y registro presupuestal.</v>
          </cell>
          <cell r="Y140">
            <v>43126</v>
          </cell>
          <cell r="Z140">
            <v>43368</v>
          </cell>
          <cell r="AA140">
            <v>242</v>
          </cell>
          <cell r="AB140" t="str">
            <v xml:space="preserve"> </v>
          </cell>
          <cell r="AC140">
            <v>43368</v>
          </cell>
          <cell r="AD140" t="str">
            <v>JOSE FERNANDO CEBALLOS ARROYAVE</v>
          </cell>
          <cell r="AE140" t="str">
            <v>DIRECCION JURIDICA</v>
          </cell>
          <cell r="AF140"/>
          <cell r="AG140"/>
          <cell r="AH140"/>
          <cell r="AI140"/>
          <cell r="AJ140">
            <v>12.809917355371899</v>
          </cell>
          <cell r="AK140"/>
          <cell r="AL140" t="str">
            <v>13118</v>
          </cell>
        </row>
        <row r="141">
          <cell r="A141">
            <v>31</v>
          </cell>
          <cell r="B141" t="str">
            <v>140-2018</v>
          </cell>
          <cell r="C141" t="str">
            <v>CATALINA MENDIETA SUAREZ</v>
          </cell>
          <cell r="D141">
            <v>1</v>
          </cell>
          <cell r="E141" t="str">
            <v>C.C.</v>
          </cell>
          <cell r="F141">
            <v>1020774113</v>
          </cell>
          <cell r="G141" t="str">
            <v>MUJER</v>
          </cell>
          <cell r="H141">
            <v>43125</v>
          </cell>
          <cell r="I141" t="str">
            <v>Prestar servicios de apoyo a la gestión en la Dirección General de Función Pública, en la articulación y comunicación permanente al interior de la Entidad, para el seguimiento a las metas institucionales, y con las entidades públicas, receptoras de los lineamientos y políticas que dicta Función Pública.</v>
          </cell>
          <cell r="J141" t="str">
            <v>CONTRATACIÓN DIRECTA</v>
          </cell>
          <cell r="K141" t="str">
            <v>PRESTACION DE SERVICIOS DE APOYO A LA GESTION</v>
          </cell>
          <cell r="L141" t="str">
            <v xml:space="preserve">(8) $ 2.000.000                        </v>
          </cell>
          <cell r="M141">
            <v>16000000</v>
          </cell>
          <cell r="N141"/>
          <cell r="O141">
            <v>16000000</v>
          </cell>
          <cell r="P141" t="str">
            <v>Ocho (8) mensualidades vencidas, cada una por valor de DOS MILLONES DE PESOS ($2.000.000) M/CTE.</v>
          </cell>
          <cell r="Q141" t="str">
            <v>18018  2018 19 Enero 2018</v>
          </cell>
          <cell r="R141" t="str">
            <v>IMPLEMENTACIÓN Y FORTALECIMIENTO DE LAS POLITICAS LIDERADAS POR FUNCION PUBLICA A NIVEL NACIONAL</v>
          </cell>
          <cell r="S141" t="str">
            <v>CSF</v>
          </cell>
          <cell r="T141" t="str">
            <v>18918-2018 25 Enero 2018</v>
          </cell>
          <cell r="U141" t="str">
            <v>N/A</v>
          </cell>
          <cell r="V141" t="str">
            <v>N/A</v>
          </cell>
          <cell r="W141" t="str">
            <v>N/A</v>
          </cell>
          <cell r="X141" t="str">
            <v>Ocho (8) meses, contado a partir del perfeccionamiento del mismo y registro presupuestal.</v>
          </cell>
          <cell r="Y141">
            <v>43125</v>
          </cell>
          <cell r="Z141">
            <v>43367</v>
          </cell>
          <cell r="AA141">
            <v>242</v>
          </cell>
          <cell r="AB141" t="str">
            <v xml:space="preserve"> </v>
          </cell>
          <cell r="AC141">
            <v>43367</v>
          </cell>
          <cell r="AD141" t="str">
            <v xml:space="preserve">SANTIAGO ARANGO CORRALES </v>
          </cell>
          <cell r="AE141" t="str">
            <v>DIRECCION GENERAL</v>
          </cell>
          <cell r="AF141" t="str">
            <v>LAURA CORDOBA REYES</v>
          </cell>
          <cell r="AG141"/>
          <cell r="AH141"/>
          <cell r="AI141"/>
          <cell r="AJ141">
            <v>13.223140495867769</v>
          </cell>
          <cell r="AK141"/>
          <cell r="AL141" t="str">
            <v>18018</v>
          </cell>
        </row>
        <row r="142">
          <cell r="A142">
            <v>45</v>
          </cell>
          <cell r="B142" t="str">
            <v>141-2018</v>
          </cell>
          <cell r="C142" t="str">
            <v>PSICOLOGOS ESPECIALISTAS ASOCIADOS PSEA S.A.S</v>
          </cell>
          <cell r="D142">
            <v>1</v>
          </cell>
          <cell r="E142" t="str">
            <v>NIT</v>
          </cell>
          <cell r="F142">
            <v>860035467</v>
          </cell>
          <cell r="G142" t="str">
            <v>NO APLICA</v>
          </cell>
          <cell r="H142">
            <v>43125</v>
          </cell>
          <cell r="I142" t="str">
            <v xml:space="preserve">Adquirir las pruebas Test de Wartegg, para la evaluación de las competencias laborales de los aspirantes a cargos, en los distintos niveles de la Administración Pública. </v>
          </cell>
          <cell r="J142" t="str">
            <v>CONTRATACIÓN DIRECTA</v>
          </cell>
          <cell r="K142" t="str">
            <v>CONTRATO DE COMPRAVENTA</v>
          </cell>
          <cell r="L142" t="str">
            <v>Un (1) pago</v>
          </cell>
          <cell r="M142">
            <v>1120000</v>
          </cell>
          <cell r="N142"/>
          <cell r="O142">
            <v>1120000</v>
          </cell>
          <cell r="P142" t="str">
            <v>un (1) solo pago, previa presentación de la respectiva factura y expedición del certificado de cumplimiento y evaluación del contratista firmado por el supervisor. El desembolso estará supeditado al pago de los aportes al Sistema Integral de Seguridad Social en Salud, Pensión y Riesgos Laborales, así como los propios del Sena, ICBF y Cajas de Compensación Familiar, de conformidad con lo establecido en el inciso 3º del artículo 50 de la ley 789 de 2002; así como al Programa Anual Mensualizado de Caja P.A.C. y al cumplimiento de los procedimientos presupuestales.</v>
          </cell>
          <cell r="Q142" t="str">
            <v>17718  2018 19 Enero 2018</v>
          </cell>
          <cell r="R142" t="str">
            <v>IMPLEMENTACIÓN Y FORTALECIMIENTO DE LAS POLITICAS LIDERADAS POR FUNCION PUBLICA A NIVEL NACIONAL</v>
          </cell>
          <cell r="S142" t="str">
            <v>SSF</v>
          </cell>
          <cell r="T142" t="str">
            <v>20118-2018 26 Enero 2018</v>
          </cell>
          <cell r="U142" t="str">
            <v>N/A</v>
          </cell>
          <cell r="V142" t="str">
            <v>N/A</v>
          </cell>
          <cell r="W142" t="str">
            <v>N/A</v>
          </cell>
          <cell r="X142" t="str">
            <v>Un (1) mes, contado a partir de la fecha de perfeccionamiento y registro presupuestal.</v>
          </cell>
          <cell r="Y142">
            <v>43126</v>
          </cell>
          <cell r="Z142">
            <v>43156</v>
          </cell>
          <cell r="AA142">
            <v>30</v>
          </cell>
          <cell r="AB142" t="str">
            <v xml:space="preserve"> </v>
          </cell>
          <cell r="AC142">
            <v>43156</v>
          </cell>
          <cell r="AD142" t="str">
            <v xml:space="preserve">VIVIANA MARCELA FAJARDO SUÁREZ </v>
          </cell>
          <cell r="AE142" t="str">
            <v>GRUPO DE APOYO A LA MERITOCRACIA</v>
          </cell>
          <cell r="AF142"/>
          <cell r="AG142"/>
          <cell r="AH142"/>
          <cell r="AI142"/>
          <cell r="AJ142">
            <v>103.33333333333334</v>
          </cell>
          <cell r="AK142"/>
          <cell r="AL142" t="str">
            <v>17718</v>
          </cell>
        </row>
        <row r="143">
          <cell r="A143">
            <v>199</v>
          </cell>
          <cell r="B143" t="str">
            <v>142-2018</v>
          </cell>
          <cell r="C143" t="str">
            <v>SOCIEDAD HOTELERA TEQUENDAMA S.A.</v>
          </cell>
          <cell r="D143">
            <v>1</v>
          </cell>
          <cell r="E143" t="str">
            <v>NIT</v>
          </cell>
          <cell r="F143">
            <v>860006543</v>
          </cell>
          <cell r="G143" t="str">
            <v>NO APLICA</v>
          </cell>
          <cell r="H143">
            <v>43125</v>
          </cell>
          <cell r="I143" t="str">
            <v>Prestar los servicios de apoyo logistico, en la organización y desarrollo de los eventos requeridos por la Función Pública en la vigencia 2018.</v>
          </cell>
          <cell r="J143" t="str">
            <v>CONTRATACIÓN DIRECTA</v>
          </cell>
          <cell r="K143" t="str">
            <v xml:space="preserve">PRESTACION DE SERVICIOS </v>
          </cell>
          <cell r="L143" t="str">
            <v xml:space="preserve">(1er. Pago) $ 150.000.000                     (2do. Pago) $ 150.000.000            (3er.. Pago) $ 200.000.000                         </v>
          </cell>
          <cell r="M143">
            <v>500000000</v>
          </cell>
          <cell r="N143"/>
          <cell r="O143">
            <v>500000000</v>
          </cell>
          <cell r="P143" t="str">
            <v>Función Pública desembolsara el valor total asi, a) Un primer (1) desembolso por valor de CIENTO CINCUENTA MILLONES DE PESOS ($150.000.000) M/CTE, b) Un segundo (2) desembolso por valor de CIENTO CINCUENTA MILLONES DE PESOS ($150.000.000) M/CTE, y c) Un tercer (3) y ultimo desembolso por valor de DOSCIENTOS MILLONES DE PESOS ($200.000.000) M/CTE.</v>
          </cell>
          <cell r="Q143" t="str">
            <v>18118  2018 22 Enero 2018</v>
          </cell>
          <cell r="R143" t="str">
            <v>IMPLEMENTACIÓN Y FORTALECIMIENTO DE LAS POLITICAS LIDERADAS POR FUNCION PUBLICA A NIVEL NACIONAL</v>
          </cell>
          <cell r="S143" t="str">
            <v>SSF</v>
          </cell>
          <cell r="T143" t="str">
            <v>19018-2018 26 Enero 2018</v>
          </cell>
          <cell r="U143" t="str">
            <v>CONFIANZA</v>
          </cell>
          <cell r="V143">
            <v>43126</v>
          </cell>
          <cell r="W143">
            <v>43130</v>
          </cell>
          <cell r="X143" t="str">
            <v>Hasta el veintiocho (28) de diciembre de 2018, de conformidad con lo estipulado por el Acuerdo Marco de Precios de Colombia Compra Eficiente.</v>
          </cell>
          <cell r="Y143">
            <v>43130</v>
          </cell>
          <cell r="Z143">
            <v>43462</v>
          </cell>
          <cell r="AA143">
            <v>332</v>
          </cell>
          <cell r="AB143" t="str">
            <v xml:space="preserve"> </v>
          </cell>
          <cell r="AC143">
            <v>43462</v>
          </cell>
          <cell r="AD143" t="str">
            <v>NATALIA CARRILLO MOLINA</v>
          </cell>
          <cell r="AE143" t="str">
            <v xml:space="preserve">GRUPO DE GESTION ADMINISTRATIVA </v>
          </cell>
          <cell r="AF143"/>
          <cell r="AG143"/>
          <cell r="AH143"/>
          <cell r="AI143"/>
          <cell r="AJ143">
            <v>8.1325301204819276</v>
          </cell>
          <cell r="AK143"/>
          <cell r="AL143" t="str">
            <v>18118</v>
          </cell>
        </row>
        <row r="144">
          <cell r="A144">
            <v>22</v>
          </cell>
          <cell r="B144" t="str">
            <v>143-2018</v>
          </cell>
          <cell r="C144" t="str">
            <v>E &amp; M INGENIERIA S.A.S.</v>
          </cell>
          <cell r="D144">
            <v>1</v>
          </cell>
          <cell r="E144" t="str">
            <v>NIT</v>
          </cell>
          <cell r="F144" t="str">
            <v>830078154-2</v>
          </cell>
          <cell r="G144" t="str">
            <v>NO APLICA</v>
          </cell>
          <cell r="H144">
            <v>43126</v>
          </cell>
          <cell r="I144" t="str">
            <v>Adquirir la suscripción, soporte técnico, transferencia de conocimientos y mantenimiento del Sistema de Turnos Web, de la entidad.</v>
          </cell>
          <cell r="J144" t="str">
            <v>CONTRATACIÓN DIRECTA</v>
          </cell>
          <cell r="K144" t="str">
            <v>CONTRATO DE COMPRAVENTA</v>
          </cell>
          <cell r="L144" t="str">
            <v>Un (1) pago</v>
          </cell>
          <cell r="M144">
            <v>6064473</v>
          </cell>
          <cell r="N144"/>
          <cell r="O144">
            <v>6064473</v>
          </cell>
          <cell r="P144" t="str">
            <v>Un (1) unico pago por valor de SEIS MILLONES SESENTA Y CUATRO MIL CUATROCIENTOS SETENTA Y TRES PESOS ($6'064,473) M/CTE en el mes de marzo de 2018</v>
          </cell>
          <cell r="Q144" t="str">
            <v>17418  2018 15 Enero 2018</v>
          </cell>
          <cell r="R144" t="str">
            <v>PRESUPUESTO DE FUNCIONAMIENTO</v>
          </cell>
          <cell r="S144" t="str">
            <v>CSF</v>
          </cell>
          <cell r="T144" t="str">
            <v>20018-2018 26 Enero 2018</v>
          </cell>
          <cell r="U144" t="str">
            <v>SEGUROS DEL ESTADO</v>
          </cell>
          <cell r="V144">
            <v>43132</v>
          </cell>
          <cell r="W144">
            <v>43133</v>
          </cell>
          <cell r="X144" t="str">
            <v xml:space="preserve">Doce (12) meses, contados a partir del perfeccionamiento del contrato, aprobación de pólizas y registro presupuestal. </v>
          </cell>
          <cell r="Y144">
            <v>43133</v>
          </cell>
          <cell r="Z144">
            <v>43497</v>
          </cell>
          <cell r="AA144">
            <v>364</v>
          </cell>
          <cell r="AB144" t="str">
            <v xml:space="preserve"> </v>
          </cell>
          <cell r="AC144">
            <v>43497</v>
          </cell>
          <cell r="AD144" t="str">
            <v xml:space="preserve">EDWIN SANCHEZ ROZO </v>
          </cell>
          <cell r="AE144" t="str">
            <v xml:space="preserve">GRUPO DE GESTION ADMINISTRATIVA </v>
          </cell>
          <cell r="AF144"/>
          <cell r="AG144"/>
          <cell r="AH144"/>
          <cell r="AI144"/>
          <cell r="AJ144">
            <v>6.593406593406594</v>
          </cell>
          <cell r="AK144"/>
          <cell r="AL144" t="str">
            <v>17418</v>
          </cell>
        </row>
        <row r="145">
          <cell r="A145">
            <v>123</v>
          </cell>
          <cell r="B145" t="str">
            <v>144-2018</v>
          </cell>
          <cell r="C145" t="str">
            <v>TATIANA FORERO TORRES</v>
          </cell>
          <cell r="D145">
            <v>1</v>
          </cell>
          <cell r="E145" t="str">
            <v>C.C.</v>
          </cell>
          <cell r="F145">
            <v>1136879545</v>
          </cell>
          <cell r="G145" t="str">
            <v>MUJER</v>
          </cell>
          <cell r="H145">
            <v>43126</v>
          </cell>
          <cell r="I145" t="str">
            <v>Prestar los servicios profesionales en la  Dirección de Gestión del Conocimiento de Función Pública, para apoyar el desarrollo del balance y prospectiva sobre la capacidad de cambio cultural en el sector público colombiano, asi como en la implementación de las acciones pedagógicas relacionadas que identifique en la Entidad.</v>
          </cell>
          <cell r="J145" t="str">
            <v>CONTRATACIÓN DIRECTA</v>
          </cell>
          <cell r="K145" t="str">
            <v>PRESTACION DE SERVICIOS PROFESIONALES</v>
          </cell>
          <cell r="L145" t="str">
            <v xml:space="preserve">(5) $ 5.953.000                        </v>
          </cell>
          <cell r="M145">
            <v>29765000</v>
          </cell>
          <cell r="N145"/>
          <cell r="O145">
            <v>29765000</v>
          </cell>
          <cell r="P145" t="str">
            <v>Cinco (5) mensualidades vencidas, cada una por valor de CINCO MILLONES NOVECIENTOS CINCUENTA Y TRES MIL PESOS ($5.953.000) M/CTE.</v>
          </cell>
          <cell r="Q145" t="str">
            <v>17418  2018 15 Enero 2018</v>
          </cell>
          <cell r="R145" t="str">
            <v>IMPLEMENTACIÓN Y FORTALECIMIENTO DE LAS POLITICAS LIDERADAS POR FUNCION PUBLICA A NIVEL NACIONAL</v>
          </cell>
          <cell r="S145" t="str">
            <v>SSF</v>
          </cell>
          <cell r="T145" t="str">
            <v>19918-2018 26 Enero 2018</v>
          </cell>
          <cell r="U145" t="str">
            <v>N/A</v>
          </cell>
          <cell r="V145" t="str">
            <v>N/A</v>
          </cell>
          <cell r="W145" t="str">
            <v>N/A</v>
          </cell>
          <cell r="X145" t="str">
            <v>Cinco (05) meses, contado a partir del perfeccionamiento del mismo y registro presupuestal.</v>
          </cell>
          <cell r="Y145">
            <v>43126</v>
          </cell>
          <cell r="Z145">
            <v>43276</v>
          </cell>
          <cell r="AA145">
            <v>150</v>
          </cell>
          <cell r="AB145" t="str">
            <v xml:space="preserve"> </v>
          </cell>
          <cell r="AC145">
            <v>43276</v>
          </cell>
          <cell r="AD145" t="str">
            <v xml:space="preserve">EDINSON GABRIEL MALAGÓN MAYORGA  </v>
          </cell>
          <cell r="AE145" t="str">
            <v>DIRECCION DE GESTION DEL CONOCIMIENTO</v>
          </cell>
          <cell r="AF145"/>
          <cell r="AG145"/>
          <cell r="AH145"/>
          <cell r="AI145"/>
          <cell r="AJ145">
            <v>20.666666666666668</v>
          </cell>
          <cell r="AK145"/>
          <cell r="AL145" t="str">
            <v>17418</v>
          </cell>
        </row>
        <row r="146">
          <cell r="A146">
            <v>30</v>
          </cell>
          <cell r="B146" t="str">
            <v>145-2018</v>
          </cell>
          <cell r="C146" t="str">
            <v>SERVICIO AEREO A TERRITORIOS NACIONALES S.A.</v>
          </cell>
          <cell r="D146">
            <v>1</v>
          </cell>
          <cell r="E146" t="str">
            <v>NIT</v>
          </cell>
          <cell r="F146">
            <v>8999991434</v>
          </cell>
          <cell r="G146" t="str">
            <v>NO APLICA</v>
          </cell>
          <cell r="H146">
            <v>43126</v>
          </cell>
          <cell r="I146" t="str">
            <v>Suministro de tiquetes aereos nacionales para el desplazamiento de los servidores y contratistas (en cuyos contratos esté pactada esta condición), del Departamento Administrativo de la Función Pública, de conformidad con las especificaciones de la ficha técnica del Acuerdo Marco de Precios.</v>
          </cell>
          <cell r="J146" t="str">
            <v>ACUERDO MARCO DE PRECIOS</v>
          </cell>
          <cell r="K146" t="str">
            <v>CONTRATO DE SUMINISTRO</v>
          </cell>
          <cell r="L146" t="str">
            <v>Un (1) pago</v>
          </cell>
          <cell r="M146">
            <v>35000000</v>
          </cell>
          <cell r="N146"/>
          <cell r="O146">
            <v>35000000</v>
          </cell>
          <cell r="P146" t="str">
            <v>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v>
          </cell>
          <cell r="Q146" t="str">
            <v>8118  2018 04 Enero 2018</v>
          </cell>
          <cell r="R146" t="str">
            <v>PRESUPUESTO DE FUNCIONAMIENTO</v>
          </cell>
          <cell r="S146" t="str">
            <v>CSF</v>
          </cell>
          <cell r="T146" t="str">
            <v>19418-2018 26 Enero 2018</v>
          </cell>
          <cell r="U146" t="str">
            <v>N/A</v>
          </cell>
          <cell r="V146" t="str">
            <v>N/A</v>
          </cell>
          <cell r="W146" t="str">
            <v>N/A</v>
          </cell>
          <cell r="X146" t="str">
            <v>Hasta el veintiocho (28) de diciembre de 2018, de conformidad con lo estipulado por el Acuerdo Marco de Precios de Colombia Compra Eficiente.</v>
          </cell>
          <cell r="Y146">
            <v>43126</v>
          </cell>
          <cell r="Z146">
            <v>43462</v>
          </cell>
          <cell r="AA146">
            <v>336</v>
          </cell>
          <cell r="AB146" t="str">
            <v xml:space="preserve"> </v>
          </cell>
          <cell r="AC146">
            <v>43462</v>
          </cell>
          <cell r="AD146" t="str">
            <v>JULIAN MAURICIO MARTINEZ ALVARADO</v>
          </cell>
          <cell r="AE146" t="str">
            <v xml:space="preserve">GRUPO DE GESTION ADMINISTRATIVA </v>
          </cell>
          <cell r="AF146"/>
          <cell r="AG146"/>
          <cell r="AH146"/>
          <cell r="AI146"/>
          <cell r="AJ146">
            <v>9.2261904761904763</v>
          </cell>
          <cell r="AK146"/>
          <cell r="AL146" t="str">
            <v xml:space="preserve">8118 </v>
          </cell>
        </row>
        <row r="147">
          <cell r="A147">
            <v>217</v>
          </cell>
          <cell r="B147" t="str">
            <v>146-2018</v>
          </cell>
          <cell r="C147" t="str">
            <v>ANA MILENA CACERES CASTRO</v>
          </cell>
          <cell r="D147">
            <v>2</v>
          </cell>
          <cell r="E147" t="str">
            <v>C.C.</v>
          </cell>
          <cell r="F147">
            <v>52882227</v>
          </cell>
          <cell r="G147" t="str">
            <v>MUJER</v>
          </cell>
          <cell r="H147">
            <v>43126</v>
          </cell>
          <cell r="I147" t="str">
            <v>Prestar servicios profesionales en la Dirección de Participación, Transparencia y Servicio al Ciudadano de Función Pública, para apoyar la orientación jurídica de las estrategias, instrumentos y de los proyectos normativos requeridos para la implementación de las politicas a cargo de esta dependencia.</v>
          </cell>
          <cell r="J147" t="str">
            <v>CONTRATACIÓN DIRECTA</v>
          </cell>
          <cell r="K147" t="str">
            <v>PRESTACION DE SERVICIOS PROFESIONALES</v>
          </cell>
          <cell r="L147" t="str">
            <v xml:space="preserve">(4) $ 7.350.000                     (1) $ 3.675.000                       </v>
          </cell>
          <cell r="M147">
            <v>33075000</v>
          </cell>
          <cell r="N147"/>
          <cell r="O147">
            <v>33075000</v>
          </cell>
          <cell r="P147" t="str">
            <v>Cinco (5) mensualidades vencidas, cuatro (4) pagos por valor de SIETE MILLONES TRESCIENTOS CINCUENTA MIL PESOS ($7.350.000) M/CTE, y un ultimo pago por valor de TRES MILLONES SEISCIENTOS SETENTA YCINCO MIL PESOS ($3.675.000) M/CTE.</v>
          </cell>
          <cell r="Q147" t="str">
            <v>18618  2018 25 Enero 2018</v>
          </cell>
          <cell r="R147" t="str">
            <v>IMPLEMENTACIÓN Y FORTALECIMIENTO DE LAS POLITICAS LIDERADAS POR FUNCION PUBLICA A NIVEL NACIONAL</v>
          </cell>
          <cell r="S147" t="str">
            <v>CSF</v>
          </cell>
          <cell r="T147" t="str">
            <v>20218-2018 26 Enero 2018</v>
          </cell>
          <cell r="U147" t="str">
            <v>N/A</v>
          </cell>
          <cell r="V147" t="str">
            <v>N/A</v>
          </cell>
          <cell r="W147" t="str">
            <v>N/A</v>
          </cell>
          <cell r="X147" t="str">
            <v>Cinco (05) meses, contado a partir del perfeccionamiento del mismo y registro presupuestal.</v>
          </cell>
          <cell r="Y147">
            <v>43126</v>
          </cell>
          <cell r="Z147">
            <v>43276</v>
          </cell>
          <cell r="AA147">
            <v>150</v>
          </cell>
          <cell r="AB147" t="str">
            <v xml:space="preserve"> </v>
          </cell>
          <cell r="AC147">
            <v>43276</v>
          </cell>
          <cell r="AD147" t="str">
            <v xml:space="preserve">LINA MARIA MONCALEANO CUELLAR </v>
          </cell>
          <cell r="AE147" t="str">
            <v>DIRECCION DE PARTICIPACION, TRANSPARENCIA Y SERVICIO AL CIUDADANO</v>
          </cell>
          <cell r="AF147"/>
          <cell r="AG147"/>
          <cell r="AH147"/>
          <cell r="AI147"/>
          <cell r="AJ147">
            <v>20.666666666666668</v>
          </cell>
          <cell r="AK147"/>
          <cell r="AL147" t="str">
            <v>18618</v>
          </cell>
        </row>
        <row r="148">
          <cell r="A148">
            <v>218</v>
          </cell>
          <cell r="B148" t="str">
            <v>147-2018</v>
          </cell>
          <cell r="C148" t="str">
            <v>MELANY PAOLA FLOREZ DE LA HOZ</v>
          </cell>
          <cell r="D148">
            <v>1</v>
          </cell>
          <cell r="E148" t="str">
            <v>C.C.</v>
          </cell>
          <cell r="F148">
            <v>1082976365</v>
          </cell>
          <cell r="G148" t="str">
            <v>MUJER</v>
          </cell>
          <cell r="H148">
            <v>43126</v>
          </cell>
          <cell r="I148" t="str">
            <v>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 la entidad.</v>
          </cell>
          <cell r="J148" t="str">
            <v>CONTRATACIÓN DIRECTA</v>
          </cell>
          <cell r="K148" t="str">
            <v>PRESTACION DE SERVICIOS PROFESIONALES</v>
          </cell>
          <cell r="L148" t="str">
            <v xml:space="preserve">(4) $ 3.033.000                        (1) $ 1.516.500                       </v>
          </cell>
          <cell r="M148">
            <v>13648500</v>
          </cell>
          <cell r="N148"/>
          <cell r="O148">
            <v>13648500</v>
          </cell>
          <cell r="P148" t="str">
            <v>Cinco (5) mensualidades vencidas, cuatro (4) pagos por valor de TRES MILLONES TREINTA Y TRES MIL PESOS ($3.033.000) M/CTE, y un ultimo pago por valor de UN MILLON QUINIENTOS DIECISEIS MIL QUINIENTOS PESOS ($1.516.500) M/CTE.</v>
          </cell>
          <cell r="Q148" t="str">
            <v>18818  2018 25 Enero 2018</v>
          </cell>
          <cell r="R148" t="str">
            <v>DESARROLLO Y FORTALECIMIENTO DE CAPACIDADES DE LAS ENTIDADES TERRITORIALES DE LA CIRCUNSCRIPCIÓN NACIONAL</v>
          </cell>
          <cell r="S148" t="str">
            <v>SSF</v>
          </cell>
          <cell r="T148" t="str">
            <v>20318-2018 26 Enero 2018</v>
          </cell>
          <cell r="U148" t="str">
            <v>N/A</v>
          </cell>
          <cell r="V148" t="str">
            <v>N/A</v>
          </cell>
          <cell r="W148" t="str">
            <v>N/A</v>
          </cell>
          <cell r="X148" t="str">
            <v>Cinco (05) meses, contado a partir del perfeccionamiento del mismo y registro presupuestal.</v>
          </cell>
          <cell r="Y148">
            <v>43126</v>
          </cell>
          <cell r="Z148">
            <v>43276</v>
          </cell>
          <cell r="AA148">
            <v>150</v>
          </cell>
          <cell r="AB148" t="str">
            <v xml:space="preserve"> </v>
          </cell>
          <cell r="AC148">
            <v>43276</v>
          </cell>
          <cell r="AD148" t="str">
            <v>EDINSON GABRIEL MALAGÓN MAYORGA</v>
          </cell>
          <cell r="AE148" t="str">
            <v>DIRECCION GENERAL</v>
          </cell>
          <cell r="AF148"/>
          <cell r="AG148"/>
          <cell r="AH148"/>
          <cell r="AI148"/>
          <cell r="AJ148">
            <v>20.666666666666668</v>
          </cell>
          <cell r="AK148"/>
          <cell r="AL148" t="str">
            <v>18818</v>
          </cell>
        </row>
        <row r="149">
          <cell r="A149" t="str">
            <v>N/A</v>
          </cell>
          <cell r="B149" t="str">
            <v>148-2018</v>
          </cell>
          <cell r="C149" t="str">
            <v>UNIVERSIDAD NACIONAL DE COLOMBIA</v>
          </cell>
          <cell r="D149">
            <v>1</v>
          </cell>
          <cell r="E149" t="str">
            <v>NIT</v>
          </cell>
          <cell r="F149" t="str">
            <v>899999063-3</v>
          </cell>
          <cell r="G149" t="str">
            <v>NO APLICA</v>
          </cell>
          <cell r="H149">
            <v>43126</v>
          </cell>
          <cell r="I149" t="str">
            <v>Establecer las bases de cooperación entre la Función Pública y la FACULTAD DE CIENCIAS HUMANAS DE LA UNIVERSIDAD NACIONAL DE COLOMBIA – SEDE BOGOTÁ, para realizar las pasantías y prácticas académicas no remuneradas, de todos los programas curriculares de pregrado y postgrado de la FACULTAD DE CIENCIAS HUMANAS DE LA UNIVERSIDAD NACIONAL DE COLOMBIA – SEDE BOGOTÁDE CIENCIAS HUMANAS , que tengan prevista la pasantía como modalidad de trabajo de grado o la práctica dentro del plan de estudios, en actividades relacionadas con la disciplina de formación del estudiante, con miras a contribuir a su fortalecimiento profesional, a complementar la formación académica adquirida durante el proceso enseñanza-aprendizaje y favorecer el afianzamiento de la formación profesional y humana de los estudiantes de la FACULTAD</v>
          </cell>
          <cell r="J149" t="str">
            <v>CONVENIO</v>
          </cell>
          <cell r="K149" t="str">
            <v>CONVENIO INTERADMINISTRATIVO DE COOPERACIÓN</v>
          </cell>
          <cell r="L149" t="str">
            <v>N/A</v>
          </cell>
          <cell r="M149">
            <v>0</v>
          </cell>
          <cell r="N149" t="str">
            <v>N/A</v>
          </cell>
          <cell r="O149">
            <v>0</v>
          </cell>
          <cell r="P149" t="str">
            <v>N/A</v>
          </cell>
          <cell r="Q149" t="str">
            <v>N/A</v>
          </cell>
          <cell r="R149" t="str">
            <v>N/A</v>
          </cell>
          <cell r="S149" t="str">
            <v>N/A</v>
          </cell>
          <cell r="T149" t="str">
            <v>N/A</v>
          </cell>
          <cell r="U149" t="str">
            <v>N/A</v>
          </cell>
          <cell r="V149" t="str">
            <v>N/A</v>
          </cell>
          <cell r="W149" t="str">
            <v>N/A</v>
          </cell>
          <cell r="X149" t="str">
            <v>Dos (2) años, contados a partir de la suscripción del mismo</v>
          </cell>
          <cell r="Y149">
            <v>43126</v>
          </cell>
          <cell r="Z149">
            <v>44007</v>
          </cell>
          <cell r="AA149">
            <v>881</v>
          </cell>
          <cell r="AB149" t="str">
            <v xml:space="preserve"> </v>
          </cell>
          <cell r="AC149">
            <v>44007</v>
          </cell>
          <cell r="AD149" t="str">
            <v>LUZ MARY RIAÑO CAMARGO</v>
          </cell>
          <cell r="AE149" t="str">
            <v>GRUPO DE GESTION HUMANA</v>
          </cell>
          <cell r="AF149"/>
          <cell r="AG149"/>
          <cell r="AH149"/>
          <cell r="AI149"/>
          <cell r="AJ149">
            <v>3.5187287173666286</v>
          </cell>
          <cell r="AK149"/>
          <cell r="AL149" t="str">
            <v>N/A</v>
          </cell>
        </row>
        <row r="150">
          <cell r="A150" t="str">
            <v>N/A</v>
          </cell>
          <cell r="B150" t="str">
            <v>149-2018</v>
          </cell>
          <cell r="C150" t="str">
            <v>ESCUELA SUPERIOR DE ADMINISTRACIÓN PÚBLICA - ESAP</v>
          </cell>
          <cell r="D150">
            <v>1</v>
          </cell>
          <cell r="E150" t="str">
            <v>NIT</v>
          </cell>
          <cell r="F150" t="str">
            <v>899.999.054-7</v>
          </cell>
          <cell r="G150" t="str">
            <v>NO APLICA</v>
          </cell>
          <cell r="H150">
            <v>43126</v>
          </cell>
          <cell r="I150" t="str">
            <v xml:space="preserve">Establecer los mecanismos de colaboración y cooperación entre la FUNCION PUBLICA Y LA ESAP para la atención de los riesgos previstos en el PLAN DE CONTINUIDAD DEL NEGOCIO, el cual hace parte integral del presente convenio.  </v>
          </cell>
          <cell r="J150" t="str">
            <v>CONVENIO</v>
          </cell>
          <cell r="K150" t="str">
            <v>CONVENIO INTERADMINISTRATIVO DE COOPERACIÓN</v>
          </cell>
          <cell r="L150" t="str">
            <v>N/A</v>
          </cell>
          <cell r="M150">
            <v>0</v>
          </cell>
          <cell r="N150"/>
          <cell r="O150">
            <v>0</v>
          </cell>
          <cell r="P150" t="str">
            <v>N/A</v>
          </cell>
          <cell r="Q150" t="str">
            <v>N/A</v>
          </cell>
          <cell r="R150" t="str">
            <v>N/A</v>
          </cell>
          <cell r="S150" t="str">
            <v>N/A</v>
          </cell>
          <cell r="T150" t="str">
            <v>N/A</v>
          </cell>
          <cell r="U150" t="str">
            <v>N/A</v>
          </cell>
          <cell r="V150" t="str">
            <v>N/A</v>
          </cell>
          <cell r="W150" t="str">
            <v>N/A</v>
          </cell>
          <cell r="X150" t="str">
            <v xml:space="preserve">Doce (12) meses, contados a partir de la suscripción del mismo. </v>
          </cell>
          <cell r="Y150">
            <v>43126</v>
          </cell>
          <cell r="Z150">
            <v>43490</v>
          </cell>
          <cell r="AA150">
            <v>364</v>
          </cell>
          <cell r="AB150" t="str">
            <v xml:space="preserve"> </v>
          </cell>
          <cell r="AC150">
            <v>43490</v>
          </cell>
          <cell r="AD150" t="str">
            <v>JULIAN MAURICIO MARTINEZ ALVARADO</v>
          </cell>
          <cell r="AE150" t="str">
            <v xml:space="preserve">GRUPO DE GESTION ADMINISTRATIVA </v>
          </cell>
          <cell r="AF150"/>
          <cell r="AG150"/>
          <cell r="AH150"/>
          <cell r="AI150"/>
          <cell r="AJ150">
            <v>8.5164835164835164</v>
          </cell>
          <cell r="AK150"/>
          <cell r="AL150" t="str">
            <v>N/A</v>
          </cell>
        </row>
        <row r="151">
          <cell r="A151">
            <v>198</v>
          </cell>
          <cell r="B151" t="str">
            <v xml:space="preserve">CM-015-2018 </v>
          </cell>
          <cell r="C151" t="str">
            <v>CENTRAL DE INVERSIONES S.A.</v>
          </cell>
          <cell r="D151">
            <v>1</v>
          </cell>
          <cell r="E151" t="str">
            <v>NIT</v>
          </cell>
          <cell r="F151" t="str">
            <v>860042945-5</v>
          </cell>
          <cell r="G151" t="str">
            <v>NO APLICA</v>
          </cell>
          <cell r="H151">
            <v>43126</v>
          </cell>
          <cell r="I151" t="str">
            <v>Realizar intermediación comercial para la enajenación de bienes muebles de propiedad del Departamento Administrativo de la Función Pública, por el sistema de subasta electrónica ascendente.</v>
          </cell>
          <cell r="J151" t="str">
            <v>CONTRATACIÓN DIRECTA</v>
          </cell>
          <cell r="K151" t="str">
            <v>CONTRATO INTERADMINISTRATIVO</v>
          </cell>
          <cell r="L151" t="str">
            <v>VALOR ASIGNADO EN CASO DE REQUERIRSE</v>
          </cell>
          <cell r="M151">
            <v>1562484</v>
          </cell>
          <cell r="N151"/>
          <cell r="O151">
            <v>1562484</v>
          </cell>
          <cell r="P151" t="str">
            <v>N/A</v>
          </cell>
          <cell r="Q151" t="str">
            <v>N/A</v>
          </cell>
          <cell r="R151" t="str">
            <v>N/A</v>
          </cell>
          <cell r="S151" t="str">
            <v>N/A</v>
          </cell>
          <cell r="T151" t="str">
            <v>N/A</v>
          </cell>
          <cell r="U151" t="str">
            <v>N/A</v>
          </cell>
          <cell r="V151" t="str">
            <v>N/A</v>
          </cell>
          <cell r="W151" t="str">
            <v>N/A</v>
          </cell>
          <cell r="X151" t="str">
            <v>Un (1) año, prorrogable de mutuo acuerdo por periodos iguales, contados a partir de su perfeccionamiento.</v>
          </cell>
          <cell r="Y151">
            <v>43126</v>
          </cell>
          <cell r="Z151">
            <v>43490</v>
          </cell>
          <cell r="AA151">
            <v>364</v>
          </cell>
          <cell r="AB151" t="str">
            <v xml:space="preserve"> </v>
          </cell>
          <cell r="AC151">
            <v>43490</v>
          </cell>
          <cell r="AD151" t="str">
            <v>JULIAN MAURICIO MARTINEZ ALVARADO</v>
          </cell>
          <cell r="AE151" t="str">
            <v xml:space="preserve">GRUPO DE GESTION ADMINISTRATIVA </v>
          </cell>
          <cell r="AF151"/>
          <cell r="AG151"/>
          <cell r="AH151"/>
          <cell r="AI151"/>
          <cell r="AJ151">
            <v>8.5164835164835164</v>
          </cell>
          <cell r="AK151"/>
          <cell r="AL151" t="str">
            <v>N/A</v>
          </cell>
        </row>
        <row r="152">
          <cell r="A152">
            <v>10</v>
          </cell>
          <cell r="B152" t="str">
            <v>150-2018</v>
          </cell>
          <cell r="C152" t="str">
            <v>LA PREVISORA S.A.</v>
          </cell>
          <cell r="D152">
            <v>1</v>
          </cell>
          <cell r="E152" t="str">
            <v>NIT</v>
          </cell>
          <cell r="F152">
            <v>860002400</v>
          </cell>
          <cell r="G152" t="str">
            <v>NO APLICA</v>
          </cell>
          <cell r="H152">
            <v>43132</v>
          </cell>
          <cell r="I152" t="str">
            <v>Adquirir el Seguro Obligatorio de Accidentes de Tránsito - SOAT para la protección de los automóviles que integran el parque automotor de la Función Pública, de conformidad lo señalado por el Acuerdo Marco de Precios de Colombia Compra Eficiente.</v>
          </cell>
          <cell r="J152" t="str">
            <v>ACUERDO MARCO DE PRECIOS</v>
          </cell>
          <cell r="K152" t="str">
            <v>CONTRATO DE SUMINISTRO</v>
          </cell>
          <cell r="L152" t="str">
            <v>RESPECTIVA FACTURA</v>
          </cell>
          <cell r="M152">
            <v>4130593</v>
          </cell>
          <cell r="N152"/>
          <cell r="O152">
            <v>4130593</v>
          </cell>
          <cell r="P152" t="str">
            <v>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 isor del Contrato, sin que el monto total de los servicios suministrados pueda exceder la cuantía totaldel contrato.</v>
          </cell>
          <cell r="Q152" t="str">
            <v>8718  2018 22 Enero 2018</v>
          </cell>
          <cell r="R152" t="str">
            <v>PRESUPUESTO DE FUNCIONAMIENTO</v>
          </cell>
          <cell r="S152" t="str">
            <v>CSF</v>
          </cell>
          <cell r="T152" t="str">
            <v>25918-2018 01 Febrero 2018</v>
          </cell>
          <cell r="U152" t="str">
            <v>N/A</v>
          </cell>
          <cell r="V152" t="str">
            <v>N/A</v>
          </cell>
          <cell r="W152" t="str">
            <v>N/A</v>
          </cell>
          <cell r="X152" t="str">
            <v>Hasta el treinta y uno (31) de diciembre de 2018, de conformidad con lo estipulado por el Acuerdo Marco de Precios de Colombia Compra Eficiente .</v>
          </cell>
          <cell r="Y152">
            <v>43132</v>
          </cell>
          <cell r="Z152">
            <v>43465</v>
          </cell>
          <cell r="AA152">
            <v>333</v>
          </cell>
          <cell r="AB152" t="str">
            <v xml:space="preserve"> </v>
          </cell>
          <cell r="AC152">
            <v>43465</v>
          </cell>
          <cell r="AD152" t="str">
            <v>IVAN ADOLFO MORANTES MOJICA</v>
          </cell>
          <cell r="AE152" t="str">
            <v xml:space="preserve">GRUPO DE GESTION ADMINISTRATIVA </v>
          </cell>
          <cell r="AF152"/>
          <cell r="AG152"/>
          <cell r="AH152"/>
          <cell r="AI152"/>
          <cell r="AJ152">
            <v>7.5075075075075075</v>
          </cell>
          <cell r="AK152"/>
          <cell r="AL152" t="str">
            <v xml:space="preserve">8718 </v>
          </cell>
        </row>
        <row r="153">
          <cell r="A153">
            <v>213</v>
          </cell>
          <cell r="B153" t="str">
            <v>151-2018</v>
          </cell>
          <cell r="C153" t="str">
            <v>SUBATOURS S.A.S</v>
          </cell>
          <cell r="D153">
            <v>1</v>
          </cell>
          <cell r="E153" t="str">
            <v>NIT</v>
          </cell>
          <cell r="F153">
            <v>8000750036</v>
          </cell>
          <cell r="G153" t="str">
            <v>NO APLICA</v>
          </cell>
          <cell r="H153">
            <v>43139</v>
          </cell>
          <cell r="I153" t="str">
            <v>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v>
          </cell>
          <cell r="J153" t="str">
            <v>ACUERDO MARCO DE PRECIOS</v>
          </cell>
          <cell r="K153" t="str">
            <v>CONTRATO DE SUMINISTRO</v>
          </cell>
          <cell r="L153" t="str">
            <v>RESPECTIVA FACTURA</v>
          </cell>
          <cell r="M153">
            <v>438000000</v>
          </cell>
          <cell r="N153"/>
          <cell r="O153">
            <v>438000000</v>
          </cell>
          <cell r="P153" t="str">
            <v>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v>
          </cell>
          <cell r="Q153" t="str">
            <v>18318  2018 22 Enero 2018</v>
          </cell>
          <cell r="R153" t="str">
            <v>DESARROLLO Y FORTALECIMIENTO DE CAPACIDADES DE LAS ENTIDADES TERRITORIALES DE LA CIRCUNSCRIPCIÓN NACIONAL</v>
          </cell>
          <cell r="S153" t="str">
            <v>SSF</v>
          </cell>
          <cell r="T153" t="str">
            <v>28018-2018 08 Febrero 2018</v>
          </cell>
          <cell r="U153" t="str">
            <v>N/A</v>
          </cell>
          <cell r="V153" t="str">
            <v>N/A</v>
          </cell>
          <cell r="W153" t="str">
            <v>N/A</v>
          </cell>
          <cell r="X153" t="str">
            <v>Hasta el 28 de Diciembre de 2018, de conformidad con lo estipulado por el Acuerdo Marco de Precios de Colombia Compra Eficiente.</v>
          </cell>
          <cell r="Y153">
            <v>43139</v>
          </cell>
          <cell r="Z153">
            <v>43462</v>
          </cell>
          <cell r="AA153">
            <v>323</v>
          </cell>
          <cell r="AB153" t="str">
            <v xml:space="preserve"> </v>
          </cell>
          <cell r="AC153">
            <v>43462</v>
          </cell>
          <cell r="AD153" t="str">
            <v>DIANA MARCELA GOMEZ ANZOLA</v>
          </cell>
          <cell r="AE153" t="str">
            <v>GRUPO DE GESTION HUMANA</v>
          </cell>
          <cell r="AF153"/>
          <cell r="AG153"/>
          <cell r="AH153"/>
          <cell r="AI153"/>
          <cell r="AJ153">
            <v>5.5727554179566559</v>
          </cell>
          <cell r="AK153"/>
          <cell r="AL153" t="str">
            <v>18318</v>
          </cell>
        </row>
        <row r="154">
          <cell r="A154">
            <v>50</v>
          </cell>
          <cell r="B154" t="str">
            <v>152-2018</v>
          </cell>
          <cell r="C154" t="str">
            <v>TANDEM S.A.S</v>
          </cell>
          <cell r="D154">
            <v>1</v>
          </cell>
          <cell r="E154" t="str">
            <v>NIT</v>
          </cell>
          <cell r="F154" t="str">
            <v>860090247-7</v>
          </cell>
          <cell r="G154" t="str">
            <v>NO APLICA</v>
          </cell>
          <cell r="H154">
            <v>43145</v>
          </cell>
          <cell r="I154" t="str">
            <v>Prestar el servicio de transporte, custodia y almacenamiento externo de los medios magnéticos, que contienen las copias de respaldo de la información de Función Pública, de acuerdo con las especificaciones técnicas establecidas en el presente Documento</v>
          </cell>
          <cell r="J154" t="str">
            <v>CONTRATO DE MNIMA CUANTIA</v>
          </cell>
          <cell r="K154" t="str">
            <v xml:space="preserve">PRESTACION DE SERVICIOS </v>
          </cell>
          <cell r="L154" t="str">
            <v>PAGO BIMENSUAL - SERVICIO PRESTADO</v>
          </cell>
          <cell r="M154">
            <v>2168614</v>
          </cell>
          <cell r="N154"/>
          <cell r="O154">
            <v>2168614</v>
          </cell>
          <cell r="P154" t="str">
            <v>Cinco (5) pagos bimensuales de acuerdo con los servicios efectivamente prestados y un último pago por el mes restante acorde con los servicios efectivamente prestados, incluido IVA y demás gastos asociados, previa presentación de la factura, y la expedición del certificado de recibido a satisfacción por parte del Supervisor del Contrato, sin que el monto total de los servicios pueda exceder la cuantía total del mismo.</v>
          </cell>
          <cell r="Q154" t="str">
            <v>18418  2018 23 Enero 2018</v>
          </cell>
          <cell r="R154" t="str">
            <v>PRESUPUESTO DE FUNCIONAMIENTO</v>
          </cell>
          <cell r="S154" t="str">
            <v>CSF</v>
          </cell>
          <cell r="T154" t="str">
            <v>31118-2018 15 Febrero 2018</v>
          </cell>
          <cell r="U154"/>
          <cell r="V154"/>
          <cell r="W154"/>
          <cell r="X154" t="str">
            <v xml:space="preserve">Hasta el veintiocho (28) de diciembre de 2018, contado a partir del perfeccionamiento del mismo, previo registro presupuestal y aprobación de pólizas. </v>
          </cell>
          <cell r="Y154">
            <v>43146</v>
          </cell>
          <cell r="Z154">
            <v>43462</v>
          </cell>
          <cell r="AA154">
            <v>316</v>
          </cell>
          <cell r="AB154" t="str">
            <v xml:space="preserve"> </v>
          </cell>
          <cell r="AC154">
            <v>43462</v>
          </cell>
          <cell r="AD154" t="str">
            <v xml:space="preserve">ANA YISED CASTRO ORTIZ </v>
          </cell>
          <cell r="AE154" t="str">
            <v xml:space="preserve">OFICINA DE TECNOLOGIAS DE LA INFORMACION Y LAS COMUNICACIONES </v>
          </cell>
          <cell r="AF154"/>
          <cell r="AG154"/>
          <cell r="AH154"/>
          <cell r="AI154"/>
          <cell r="AJ154">
            <v>3.481012658227848</v>
          </cell>
          <cell r="AK154"/>
          <cell r="AL154" t="str">
            <v>18418</v>
          </cell>
        </row>
        <row r="155">
          <cell r="A155">
            <v>52</v>
          </cell>
          <cell r="B155" t="str">
            <v>153-2018</v>
          </cell>
          <cell r="C155" t="str">
            <v>UT SOFT-IG</v>
          </cell>
          <cell r="D155">
            <v>2</v>
          </cell>
          <cell r="E155" t="str">
            <v>NIT</v>
          </cell>
          <cell r="F155">
            <v>900884399</v>
          </cell>
          <cell r="G155" t="str">
            <v>NO APLICA</v>
          </cell>
          <cell r="H155">
            <v>43147</v>
          </cell>
          <cell r="I155" t="str">
            <v>Adquirir la suscripcion, configuración, parametrización, soporte técnico y transferencia de conocimientos , del licenciamiento de la herramienta Dynamics CRM (Customer Relationship Management) de Microsoft, según las características señaladas en el anexo técnico.</v>
          </cell>
          <cell r="J155" t="str">
            <v>ACUERDO MARCO DE PRECIOS</v>
          </cell>
          <cell r="K155" t="str">
            <v>CONTRATO DE COMPRAVENTA</v>
          </cell>
          <cell r="L155" t="str">
            <v>SERVICIO PRESTADO</v>
          </cell>
          <cell r="M155">
            <v>222359431.53</v>
          </cell>
          <cell r="N155"/>
          <cell r="O155">
            <v>222359431.53</v>
          </cell>
          <cell r="P155" t="str">
            <v>Función Pública pagará el valor del contrato de la siguiente forma: a) Un primer pago, equivalente al valor de la renovación del licenciamiento, de la herramienta Dynamics CRM (Customer Re/ationship Management) de Microsoft, el cual se cancelará a la entrega del mismo, y b) El saldo correspondiente al valor de los servicios de configuración, parametrización, soporte técnico y transferencia de conocimientos, del licenciamiento de la herramienta Dynamics  CRM  (Customer  Relationship Management) de Microsoft, de manera proporcional en mensualidades vencidas acorde con los servicios recibidos, respecto de las horas efectivamente utilizadas en cada mes.</v>
          </cell>
          <cell r="Q155" t="str">
            <v>19018  2018 30 Enero 2018</v>
          </cell>
          <cell r="R155" t="str">
            <v>MEJORAMIENTO DE LA GESTION DE LAS POLITICAS PUBLICAS A TRAVES DE LAS TECNOLOGIAS DE INFORMACION TICS</v>
          </cell>
          <cell r="S155" t="str">
            <v>CSF</v>
          </cell>
          <cell r="T155" t="str">
            <v>31418-2018 16 Febrero 2018</v>
          </cell>
          <cell r="U155" t="str">
            <v>N/A</v>
          </cell>
          <cell r="V155" t="str">
            <v>N/A</v>
          </cell>
          <cell r="W155" t="str">
            <v>N/A</v>
          </cell>
          <cell r="X155" t="str">
            <v>Un (1) año, contado  a  partir  del perfeccionamiento del mismo y registro presupuesta!.</v>
          </cell>
          <cell r="Y155">
            <v>43147</v>
          </cell>
          <cell r="Z155">
            <v>43511</v>
          </cell>
          <cell r="AA155">
            <v>364</v>
          </cell>
          <cell r="AB155" t="str">
            <v xml:space="preserve"> </v>
          </cell>
          <cell r="AC155">
            <v>43511</v>
          </cell>
          <cell r="AD155" t="str">
            <v>HECTOR JULIO MELO OCAMPO</v>
          </cell>
          <cell r="AE155" t="str">
            <v xml:space="preserve">OFICINA DE TECNOLOGIAS DE LA INFORMACION Y LAS COMUNICACIONES </v>
          </cell>
          <cell r="AF155"/>
          <cell r="AG155"/>
          <cell r="AH155"/>
          <cell r="AI155"/>
          <cell r="AJ155">
            <v>2.7472527472527473</v>
          </cell>
          <cell r="AK155"/>
          <cell r="AL155" t="str">
            <v>19018</v>
          </cell>
        </row>
        <row r="156">
          <cell r="A156">
            <v>32</v>
          </cell>
          <cell r="B156" t="str">
            <v>153-2018</v>
          </cell>
          <cell r="C156" t="str">
            <v>UT SOFT-IG</v>
          </cell>
          <cell r="D156">
            <v>2</v>
          </cell>
          <cell r="E156" t="str">
            <v>NIT</v>
          </cell>
          <cell r="F156">
            <v>900884399</v>
          </cell>
          <cell r="G156" t="str">
            <v>NO APLICA</v>
          </cell>
          <cell r="H156">
            <v>43147</v>
          </cell>
          <cell r="I156" t="str">
            <v>Adquirir la suscripcion, configuración, parametrización, soporte técnico y transferencia de conocimientos , del licenciamiento de la herramienta Dynamics CRM (Customer Relationship Management) de Microsoft, según las características señaladas en el anexo técnico.</v>
          </cell>
          <cell r="J156" t="str">
            <v>ACUERDO MARCO DE PRECIOS</v>
          </cell>
          <cell r="K156" t="str">
            <v>CONTRATO DE COMPRAVENTA</v>
          </cell>
          <cell r="L156" t="str">
            <v>SERVICIO PRESTADO</v>
          </cell>
          <cell r="M156">
            <v>222359431.53</v>
          </cell>
          <cell r="N156"/>
          <cell r="O156">
            <v>222359431.53</v>
          </cell>
          <cell r="P156" t="str">
            <v>Función Pública pagará el valor del contrato de la siguiente forma: a) Un primer pago, equivalente al valor de la renovación del licenciamiento, de la herramienta Dynamics CRM (Customer Re/ationship Management) de Microsoft, el cual se cancelará a la entrega del mismo, y b) El saldo correspondiente al valor de los servicios de configuración, parametrización, soporte técnico y transferencia de conocimientos, del licenciamiento de la herramienta Dynamics  CRM  (Customer  Relationship Management) de Microsoft, de manera proporcional en mensualidades vencidas acorde con los servicios recibidos, respecto de las horas efectivamente utilizadas en cada mes.</v>
          </cell>
          <cell r="Q156" t="str">
            <v>19018  2018 30 Enero 2018</v>
          </cell>
          <cell r="R156" t="str">
            <v>MEJORAMIENTO DE LA GESTION DE LAS POLITICAS PUBLICAS A TRAVES DE LAS TECNOLOGIAS DE INFORMACION TICS</v>
          </cell>
          <cell r="S156" t="str">
            <v>CSF</v>
          </cell>
          <cell r="T156" t="str">
            <v>31418-2018 16 Febrero 2018</v>
          </cell>
          <cell r="U156" t="str">
            <v>N/A</v>
          </cell>
          <cell r="V156" t="str">
            <v>N/A</v>
          </cell>
          <cell r="W156" t="str">
            <v>N/A</v>
          </cell>
          <cell r="X156" t="str">
            <v>Un (1) año, contado  a  partir  del perfeccionamiento del mismo y registro presupuesta!.</v>
          </cell>
          <cell r="Y156">
            <v>43147</v>
          </cell>
          <cell r="Z156">
            <v>43511</v>
          </cell>
          <cell r="AA156">
            <v>364</v>
          </cell>
          <cell r="AB156" t="str">
            <v xml:space="preserve"> </v>
          </cell>
          <cell r="AC156">
            <v>43511</v>
          </cell>
          <cell r="AD156" t="str">
            <v>HECTOR JULIO MELO OCAMPO</v>
          </cell>
          <cell r="AE156" t="str">
            <v xml:space="preserve">OFICINA DE TECNOLOGIAS DE LA INFORMACION Y LAS COMUNICACIONES </v>
          </cell>
          <cell r="AF156"/>
          <cell r="AG156"/>
          <cell r="AH156"/>
          <cell r="AI156"/>
          <cell r="AJ156">
            <v>2.7472527472527473</v>
          </cell>
          <cell r="AK156"/>
          <cell r="AL156" t="str">
            <v>19018</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9"/>
  <sheetViews>
    <sheetView topLeftCell="A53" zoomScale="59" zoomScaleNormal="59" workbookViewId="0">
      <selection activeCell="T69" sqref="A2:T69"/>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7109375" customWidth="1"/>
    <col min="10" max="16" width="0" hidden="1" customWidth="1"/>
    <col min="17" max="17" width="23.5703125" customWidth="1"/>
    <col min="18" max="18" width="24.42578125" customWidth="1"/>
    <col min="19" max="19" width="23" customWidth="1"/>
    <col min="20" max="20" width="26.85546875" customWidth="1"/>
  </cols>
  <sheetData>
    <row r="2" spans="1:20" ht="30" x14ac:dyDescent="0.25">
      <c r="A2" s="57" t="s">
        <v>87</v>
      </c>
      <c r="B2" s="57" t="s">
        <v>87</v>
      </c>
      <c r="C2" s="57" t="s">
        <v>87</v>
      </c>
      <c r="D2" s="57" t="s">
        <v>87</v>
      </c>
      <c r="E2" s="57" t="s">
        <v>87</v>
      </c>
      <c r="F2" s="57" t="s">
        <v>87</v>
      </c>
      <c r="G2" s="57" t="s">
        <v>87</v>
      </c>
      <c r="H2" s="57" t="s">
        <v>87</v>
      </c>
      <c r="I2" s="58" t="s">
        <v>87</v>
      </c>
      <c r="J2" s="791" t="s">
        <v>325</v>
      </c>
      <c r="K2" s="791" t="s">
        <v>326</v>
      </c>
      <c r="L2" s="791" t="s">
        <v>327</v>
      </c>
      <c r="M2" s="133"/>
      <c r="N2" s="133" t="s">
        <v>87</v>
      </c>
      <c r="O2" s="133" t="s">
        <v>87</v>
      </c>
      <c r="P2" s="134" t="s">
        <v>328</v>
      </c>
      <c r="Q2" s="135"/>
      <c r="R2" s="135"/>
      <c r="S2" s="135"/>
      <c r="T2" s="135"/>
    </row>
    <row r="3" spans="1:20" ht="120" x14ac:dyDescent="0.25">
      <c r="A3" s="577" t="s">
        <v>111</v>
      </c>
      <c r="B3" s="577" t="s">
        <v>110</v>
      </c>
      <c r="C3" s="577" t="s">
        <v>109</v>
      </c>
      <c r="D3" s="577" t="s">
        <v>108</v>
      </c>
      <c r="E3" s="577" t="s">
        <v>107</v>
      </c>
      <c r="F3" s="577" t="s">
        <v>106</v>
      </c>
      <c r="G3" s="577" t="s">
        <v>105</v>
      </c>
      <c r="H3" s="577" t="s">
        <v>104</v>
      </c>
      <c r="I3" s="59" t="s">
        <v>103</v>
      </c>
      <c r="J3" s="792"/>
      <c r="K3" s="792"/>
      <c r="L3" s="792"/>
      <c r="M3" s="59" t="s">
        <v>332</v>
      </c>
      <c r="N3" s="59" t="s">
        <v>333</v>
      </c>
      <c r="O3" s="147" t="s">
        <v>334</v>
      </c>
      <c r="P3" s="59" t="s">
        <v>335</v>
      </c>
      <c r="Q3" s="37" t="s">
        <v>174</v>
      </c>
      <c r="R3" s="37" t="s">
        <v>187</v>
      </c>
      <c r="S3" s="37" t="s">
        <v>188</v>
      </c>
      <c r="T3" s="579" t="s">
        <v>172</v>
      </c>
    </row>
    <row r="4" spans="1:20" ht="23.25" x14ac:dyDescent="0.25">
      <c r="A4" s="793" t="s">
        <v>114</v>
      </c>
      <c r="B4" s="793"/>
      <c r="C4" s="793"/>
      <c r="D4" s="793"/>
      <c r="E4" s="793"/>
      <c r="F4" s="793"/>
      <c r="G4" s="793"/>
      <c r="H4" s="793"/>
      <c r="I4" s="793"/>
      <c r="J4" s="578"/>
      <c r="K4" s="578"/>
      <c r="L4" s="578"/>
      <c r="M4" s="45"/>
      <c r="N4" s="45"/>
      <c r="O4" s="46"/>
      <c r="P4" s="46"/>
      <c r="Q4" s="46"/>
      <c r="R4" s="46"/>
      <c r="S4" s="46"/>
      <c r="T4" s="580"/>
    </row>
    <row r="5" spans="1:20" ht="36" x14ac:dyDescent="0.25">
      <c r="A5" s="267">
        <v>2</v>
      </c>
      <c r="B5" s="267">
        <v>0</v>
      </c>
      <c r="C5" s="267">
        <v>4</v>
      </c>
      <c r="D5" s="267">
        <v>1</v>
      </c>
      <c r="E5" s="267">
        <v>6</v>
      </c>
      <c r="F5" s="38" t="s">
        <v>147</v>
      </c>
      <c r="G5" s="25">
        <v>10</v>
      </c>
      <c r="H5" s="25" t="s">
        <v>88</v>
      </c>
      <c r="I5" s="36" t="s">
        <v>364</v>
      </c>
      <c r="J5" s="658">
        <v>26312050</v>
      </c>
      <c r="K5" s="658">
        <v>100121585</v>
      </c>
      <c r="L5" s="658">
        <v>22000000</v>
      </c>
      <c r="M5" s="635"/>
      <c r="N5" s="45"/>
      <c r="O5" s="45"/>
      <c r="P5" s="45">
        <f>SUM(M5+N5-O5)</f>
        <v>0</v>
      </c>
      <c r="Q5" s="268"/>
      <c r="R5" s="269"/>
      <c r="S5" s="268"/>
      <c r="T5" s="268">
        <f>SUM(R5-S5)</f>
        <v>0</v>
      </c>
    </row>
    <row r="6" spans="1:20" ht="36" x14ac:dyDescent="0.25">
      <c r="A6" s="38">
        <v>2</v>
      </c>
      <c r="B6" s="38">
        <v>0</v>
      </c>
      <c r="C6" s="38">
        <v>4</v>
      </c>
      <c r="D6" s="38">
        <v>1</v>
      </c>
      <c r="E6" s="38">
        <v>8</v>
      </c>
      <c r="F6" s="38" t="s">
        <v>147</v>
      </c>
      <c r="G6" s="25">
        <v>10</v>
      </c>
      <c r="H6" s="25" t="s">
        <v>88</v>
      </c>
      <c r="I6" s="42" t="s">
        <v>365</v>
      </c>
      <c r="J6" s="658"/>
      <c r="K6" s="658">
        <v>223529923</v>
      </c>
      <c r="L6" s="658">
        <v>36257167</v>
      </c>
      <c r="M6" s="649">
        <v>20100403</v>
      </c>
      <c r="N6" s="45"/>
      <c r="O6" s="45"/>
      <c r="P6" s="45">
        <f t="shared" ref="P6:P11" si="0">SUM(M6+N6-O6)</f>
        <v>20100403</v>
      </c>
      <c r="Q6" s="268"/>
      <c r="R6" s="269"/>
      <c r="S6" s="268"/>
      <c r="T6" s="268">
        <f>SUM(R6-S6)</f>
        <v>0</v>
      </c>
    </row>
    <row r="7" spans="1:20" ht="36" x14ac:dyDescent="0.25">
      <c r="A7" s="38">
        <v>2</v>
      </c>
      <c r="B7" s="38">
        <v>0</v>
      </c>
      <c r="C7" s="38">
        <v>4</v>
      </c>
      <c r="D7" s="38">
        <v>1</v>
      </c>
      <c r="E7" s="38">
        <v>25</v>
      </c>
      <c r="F7" s="38" t="s">
        <v>147</v>
      </c>
      <c r="G7" s="25">
        <v>10</v>
      </c>
      <c r="H7" s="25" t="s">
        <v>88</v>
      </c>
      <c r="I7" s="36" t="s">
        <v>186</v>
      </c>
      <c r="J7" s="658">
        <v>162900</v>
      </c>
      <c r="K7" s="658">
        <v>12093007</v>
      </c>
      <c r="L7" s="658">
        <v>438400</v>
      </c>
      <c r="M7" s="649">
        <v>45000000</v>
      </c>
      <c r="N7" s="45"/>
      <c r="O7" s="45"/>
      <c r="P7" s="45">
        <f t="shared" si="0"/>
        <v>45000000</v>
      </c>
      <c r="Q7" s="268">
        <v>500000</v>
      </c>
      <c r="R7" s="268">
        <v>500000</v>
      </c>
      <c r="S7" s="268"/>
      <c r="T7" s="268">
        <f>SUM(R7-S7)</f>
        <v>500000</v>
      </c>
    </row>
    <row r="8" spans="1:20" ht="36" x14ac:dyDescent="0.25">
      <c r="A8" s="38">
        <v>2</v>
      </c>
      <c r="B8" s="38">
        <v>0</v>
      </c>
      <c r="C8" s="38">
        <v>4</v>
      </c>
      <c r="D8" s="38">
        <v>1</v>
      </c>
      <c r="E8" s="38">
        <v>26</v>
      </c>
      <c r="F8" s="38" t="s">
        <v>147</v>
      </c>
      <c r="G8" s="25">
        <v>10</v>
      </c>
      <c r="H8" s="25" t="s">
        <v>88</v>
      </c>
      <c r="I8" s="36" t="s">
        <v>154</v>
      </c>
      <c r="J8" s="658">
        <v>16357798</v>
      </c>
      <c r="K8" s="658"/>
      <c r="L8" s="658"/>
      <c r="M8" s="45"/>
      <c r="N8" s="45"/>
      <c r="O8" s="45"/>
      <c r="P8" s="45">
        <f t="shared" si="0"/>
        <v>0</v>
      </c>
      <c r="Q8" s="268"/>
      <c r="R8" s="268">
        <v>0</v>
      </c>
      <c r="S8" s="268"/>
      <c r="T8" s="268">
        <f>SUM(R8-S8)</f>
        <v>0</v>
      </c>
    </row>
    <row r="9" spans="1:20" ht="20.25" x14ac:dyDescent="0.25">
      <c r="A9" s="32"/>
      <c r="B9" s="32"/>
      <c r="C9" s="32"/>
      <c r="D9" s="32"/>
      <c r="E9" s="32"/>
      <c r="F9" s="32"/>
      <c r="G9" s="33"/>
      <c r="H9" s="33"/>
      <c r="I9" s="35" t="s">
        <v>135</v>
      </c>
      <c r="J9" s="279">
        <f t="shared" ref="J9:O9" si="1">SUM(J5:J8)</f>
        <v>42832748</v>
      </c>
      <c r="K9" s="279">
        <f t="shared" si="1"/>
        <v>335744515</v>
      </c>
      <c r="L9" s="279">
        <f t="shared" si="1"/>
        <v>58695567</v>
      </c>
      <c r="M9" s="280">
        <f t="shared" si="1"/>
        <v>65100403</v>
      </c>
      <c r="N9" s="280">
        <f t="shared" si="1"/>
        <v>0</v>
      </c>
      <c r="O9" s="280">
        <f t="shared" si="1"/>
        <v>0</v>
      </c>
      <c r="P9" s="280">
        <f t="shared" si="0"/>
        <v>65100403</v>
      </c>
      <c r="Q9" s="49">
        <f t="shared" ref="Q9:T9" si="2">SUM(Q5:Q8)</f>
        <v>500000</v>
      </c>
      <c r="R9" s="49">
        <f t="shared" si="2"/>
        <v>500000</v>
      </c>
      <c r="S9" s="49">
        <f t="shared" si="2"/>
        <v>0</v>
      </c>
      <c r="T9" s="49">
        <f t="shared" si="2"/>
        <v>500000</v>
      </c>
    </row>
    <row r="10" spans="1:20" ht="36" x14ac:dyDescent="0.25">
      <c r="A10" s="38">
        <v>2</v>
      </c>
      <c r="B10" s="38">
        <v>0</v>
      </c>
      <c r="C10" s="38">
        <v>4</v>
      </c>
      <c r="D10" s="38">
        <v>2</v>
      </c>
      <c r="E10" s="38">
        <v>2</v>
      </c>
      <c r="F10" s="38" t="s">
        <v>147</v>
      </c>
      <c r="G10" s="25">
        <v>10</v>
      </c>
      <c r="H10" s="25" t="s">
        <v>88</v>
      </c>
      <c r="I10" s="36" t="s">
        <v>366</v>
      </c>
      <c r="J10" s="658">
        <v>23500000</v>
      </c>
      <c r="K10" s="658"/>
      <c r="L10" s="658"/>
      <c r="M10" s="45"/>
      <c r="N10" s="45"/>
      <c r="O10" s="45"/>
      <c r="P10" s="45">
        <f t="shared" si="0"/>
        <v>0</v>
      </c>
      <c r="Q10" s="268"/>
      <c r="R10" s="268"/>
      <c r="S10" s="268"/>
      <c r="T10" s="268"/>
    </row>
    <row r="11" spans="1:20" ht="36" x14ac:dyDescent="0.25">
      <c r="A11" s="38">
        <v>2</v>
      </c>
      <c r="B11" s="38">
        <v>0</v>
      </c>
      <c r="C11" s="38">
        <v>4</v>
      </c>
      <c r="D11" s="38">
        <v>2</v>
      </c>
      <c r="E11" s="38">
        <v>2</v>
      </c>
      <c r="F11" s="38" t="s">
        <v>147</v>
      </c>
      <c r="G11" s="25">
        <v>10</v>
      </c>
      <c r="H11" s="25" t="s">
        <v>88</v>
      </c>
      <c r="I11" s="36" t="s">
        <v>367</v>
      </c>
      <c r="J11" s="658">
        <v>3540146</v>
      </c>
      <c r="K11" s="658">
        <v>12221424.199999999</v>
      </c>
      <c r="L11" s="658"/>
      <c r="M11" s="635">
        <v>20000000</v>
      </c>
      <c r="N11" s="45"/>
      <c r="O11" s="45"/>
      <c r="P11" s="45">
        <f t="shared" si="0"/>
        <v>20000000</v>
      </c>
      <c r="Q11" s="268"/>
      <c r="R11" s="268"/>
      <c r="S11" s="268"/>
      <c r="T11" s="268"/>
    </row>
    <row r="12" spans="1:20" ht="20.25" x14ac:dyDescent="0.25">
      <c r="A12" s="32"/>
      <c r="B12" s="32"/>
      <c r="C12" s="32"/>
      <c r="D12" s="32"/>
      <c r="E12" s="32"/>
      <c r="F12" s="32"/>
      <c r="G12" s="33"/>
      <c r="H12" s="33"/>
      <c r="I12" s="35" t="s">
        <v>368</v>
      </c>
      <c r="J12" s="279">
        <f t="shared" ref="J12:P12" si="3">SUM(J10:J11)</f>
        <v>27040146</v>
      </c>
      <c r="K12" s="279">
        <f t="shared" si="3"/>
        <v>12221424.199999999</v>
      </c>
      <c r="L12" s="279">
        <f t="shared" si="3"/>
        <v>0</v>
      </c>
      <c r="M12" s="280">
        <f t="shared" si="3"/>
        <v>20000000</v>
      </c>
      <c r="N12" s="280">
        <f t="shared" si="3"/>
        <v>0</v>
      </c>
      <c r="O12" s="280">
        <f t="shared" si="3"/>
        <v>0</v>
      </c>
      <c r="P12" s="280">
        <f t="shared" si="3"/>
        <v>20000000</v>
      </c>
      <c r="Q12" s="49"/>
      <c r="R12" s="49">
        <f t="shared" ref="R12:T12" si="4">SUM(R10:R11)</f>
        <v>0</v>
      </c>
      <c r="S12" s="49">
        <f t="shared" si="4"/>
        <v>0</v>
      </c>
      <c r="T12" s="49">
        <f t="shared" si="4"/>
        <v>0</v>
      </c>
    </row>
    <row r="13" spans="1:20" ht="22.9" customHeight="1" x14ac:dyDescent="0.25">
      <c r="A13" s="793" t="s">
        <v>127</v>
      </c>
      <c r="B13" s="793"/>
      <c r="C13" s="793"/>
      <c r="D13" s="793"/>
      <c r="E13" s="793"/>
      <c r="F13" s="793"/>
      <c r="G13" s="793"/>
      <c r="H13" s="793"/>
      <c r="I13" s="793"/>
      <c r="J13" s="25"/>
      <c r="K13" s="25"/>
      <c r="L13" s="25"/>
      <c r="M13" s="50"/>
      <c r="N13" s="50"/>
      <c r="O13" s="50"/>
      <c r="P13" s="50"/>
      <c r="Q13" s="295"/>
      <c r="R13" s="295"/>
      <c r="S13" s="295"/>
      <c r="T13" s="295"/>
    </row>
    <row r="14" spans="1:20" ht="36" x14ac:dyDescent="0.25">
      <c r="A14" s="38">
        <v>2</v>
      </c>
      <c r="B14" s="38">
        <v>0</v>
      </c>
      <c r="C14" s="38">
        <v>4</v>
      </c>
      <c r="D14" s="38">
        <v>4</v>
      </c>
      <c r="E14" s="38">
        <v>1</v>
      </c>
      <c r="F14" s="38" t="s">
        <v>147</v>
      </c>
      <c r="G14" s="25">
        <v>10</v>
      </c>
      <c r="H14" s="25" t="s">
        <v>88</v>
      </c>
      <c r="I14" s="42" t="s">
        <v>369</v>
      </c>
      <c r="J14" s="658">
        <v>47820000</v>
      </c>
      <c r="K14" s="658">
        <v>33224716</v>
      </c>
      <c r="L14" s="658">
        <v>39200000</v>
      </c>
      <c r="M14" s="649">
        <v>43000000</v>
      </c>
      <c r="N14" s="45"/>
      <c r="O14" s="45"/>
      <c r="P14" s="45">
        <f t="shared" ref="P14:P22" si="5">SUM(M14+N14-O14)</f>
        <v>43000000</v>
      </c>
      <c r="Q14" s="268"/>
      <c r="R14" s="268"/>
      <c r="S14" s="268"/>
      <c r="T14" s="268"/>
    </row>
    <row r="15" spans="1:20" ht="36" x14ac:dyDescent="0.25">
      <c r="A15" s="38">
        <v>2</v>
      </c>
      <c r="B15" s="38">
        <v>0</v>
      </c>
      <c r="C15" s="38">
        <v>4</v>
      </c>
      <c r="D15" s="38">
        <v>4</v>
      </c>
      <c r="E15" s="38">
        <v>2</v>
      </c>
      <c r="F15" s="38" t="s">
        <v>147</v>
      </c>
      <c r="G15" s="25">
        <v>10</v>
      </c>
      <c r="H15" s="25" t="s">
        <v>88</v>
      </c>
      <c r="I15" s="42" t="s">
        <v>370</v>
      </c>
      <c r="J15" s="658">
        <v>16709800</v>
      </c>
      <c r="K15" s="658">
        <v>20291970</v>
      </c>
      <c r="L15" s="658">
        <v>15172027</v>
      </c>
      <c r="M15" s="649">
        <v>24000000</v>
      </c>
      <c r="N15" s="45"/>
      <c r="O15" s="45"/>
      <c r="P15" s="45">
        <f t="shared" si="5"/>
        <v>24000000</v>
      </c>
      <c r="Q15" s="268"/>
      <c r="R15" s="268"/>
      <c r="S15" s="268"/>
      <c r="T15" s="268"/>
    </row>
    <row r="16" spans="1:20" ht="36" x14ac:dyDescent="0.25">
      <c r="A16" s="38">
        <v>2</v>
      </c>
      <c r="B16" s="38">
        <v>0</v>
      </c>
      <c r="C16" s="38">
        <v>4</v>
      </c>
      <c r="D16" s="38">
        <v>4</v>
      </c>
      <c r="E16" s="38">
        <v>6</v>
      </c>
      <c r="F16" s="38" t="s">
        <v>147</v>
      </c>
      <c r="G16" s="25">
        <v>10</v>
      </c>
      <c r="H16" s="25" t="s">
        <v>88</v>
      </c>
      <c r="I16" s="42" t="s">
        <v>371</v>
      </c>
      <c r="J16" s="658">
        <v>0</v>
      </c>
      <c r="K16" s="658">
        <v>2504440</v>
      </c>
      <c r="L16" s="658"/>
      <c r="M16" s="649">
        <v>8000000</v>
      </c>
      <c r="N16" s="45"/>
      <c r="O16" s="45"/>
      <c r="P16" s="45">
        <f t="shared" si="5"/>
        <v>8000000</v>
      </c>
      <c r="Q16" s="45"/>
      <c r="R16" s="45"/>
      <c r="S16" s="45"/>
      <c r="T16" s="45"/>
    </row>
    <row r="17" spans="1:20" ht="36" x14ac:dyDescent="0.25">
      <c r="A17" s="38">
        <v>2</v>
      </c>
      <c r="B17" s="38">
        <v>0</v>
      </c>
      <c r="C17" s="38">
        <v>4</v>
      </c>
      <c r="D17" s="38">
        <v>4</v>
      </c>
      <c r="E17" s="38">
        <v>15</v>
      </c>
      <c r="F17" s="38" t="s">
        <v>147</v>
      </c>
      <c r="G17" s="25">
        <v>10</v>
      </c>
      <c r="H17" s="25" t="s">
        <v>88</v>
      </c>
      <c r="I17" s="42" t="s">
        <v>155</v>
      </c>
      <c r="J17" s="658">
        <v>81595684</v>
      </c>
      <c r="K17" s="658">
        <v>53324791</v>
      </c>
      <c r="L17" s="658">
        <v>41517993</v>
      </c>
      <c r="M17" s="649">
        <v>182000000</v>
      </c>
      <c r="N17" s="45"/>
      <c r="O17" s="45"/>
      <c r="P17" s="45">
        <f>SUM(M17+N17-O17)</f>
        <v>182000000</v>
      </c>
      <c r="Q17" s="268"/>
      <c r="R17" s="268">
        <v>1900000</v>
      </c>
      <c r="S17" s="308"/>
      <c r="T17" s="268">
        <f>SUM(R17-S17)</f>
        <v>1900000</v>
      </c>
    </row>
    <row r="18" spans="1:20" ht="36" x14ac:dyDescent="0.25">
      <c r="A18" s="38">
        <v>2</v>
      </c>
      <c r="B18" s="38">
        <v>0</v>
      </c>
      <c r="C18" s="38">
        <v>4</v>
      </c>
      <c r="D18" s="38">
        <v>4</v>
      </c>
      <c r="E18" s="38">
        <v>17</v>
      </c>
      <c r="F18" s="38" t="s">
        <v>147</v>
      </c>
      <c r="G18" s="25">
        <v>10</v>
      </c>
      <c r="H18" s="25" t="s">
        <v>88</v>
      </c>
      <c r="I18" s="42" t="s">
        <v>128</v>
      </c>
      <c r="J18" s="658">
        <v>5851314</v>
      </c>
      <c r="K18" s="658">
        <v>19552811.359999999</v>
      </c>
      <c r="L18" s="658"/>
      <c r="M18" s="45">
        <v>400000</v>
      </c>
      <c r="N18" s="45"/>
      <c r="O18" s="45"/>
      <c r="P18" s="45">
        <f t="shared" si="5"/>
        <v>400000</v>
      </c>
      <c r="Q18" s="268"/>
      <c r="R18" s="268">
        <v>100000</v>
      </c>
      <c r="S18" s="308"/>
      <c r="T18" s="268">
        <f t="shared" ref="T18:T22" si="6">SUM(R18-S18)</f>
        <v>100000</v>
      </c>
    </row>
    <row r="19" spans="1:20" ht="22.9" customHeight="1" x14ac:dyDescent="0.25">
      <c r="A19" s="38">
        <v>2</v>
      </c>
      <c r="B19" s="38">
        <v>0</v>
      </c>
      <c r="C19" s="38">
        <v>4</v>
      </c>
      <c r="D19" s="38">
        <v>4</v>
      </c>
      <c r="E19" s="38">
        <v>18</v>
      </c>
      <c r="F19" s="38" t="s">
        <v>147</v>
      </c>
      <c r="G19" s="25">
        <v>10</v>
      </c>
      <c r="H19" s="25" t="s">
        <v>88</v>
      </c>
      <c r="I19" s="42" t="s">
        <v>129</v>
      </c>
      <c r="J19" s="658">
        <v>21568574.789999999</v>
      </c>
      <c r="K19" s="658">
        <v>30327391.84</v>
      </c>
      <c r="L19" s="658"/>
      <c r="M19" s="45">
        <v>18800000</v>
      </c>
      <c r="N19" s="45"/>
      <c r="O19" s="45"/>
      <c r="P19" s="45">
        <f t="shared" si="5"/>
        <v>18800000</v>
      </c>
      <c r="Q19" s="268"/>
      <c r="R19" s="268">
        <v>18800000</v>
      </c>
      <c r="S19" s="308"/>
      <c r="T19" s="268">
        <f t="shared" si="6"/>
        <v>18800000</v>
      </c>
    </row>
    <row r="20" spans="1:20" ht="36" x14ac:dyDescent="0.25">
      <c r="A20" s="38">
        <v>2</v>
      </c>
      <c r="B20" s="38">
        <v>0</v>
      </c>
      <c r="C20" s="38">
        <v>4</v>
      </c>
      <c r="D20" s="38">
        <v>4</v>
      </c>
      <c r="E20" s="38">
        <v>20</v>
      </c>
      <c r="F20" s="38" t="s">
        <v>147</v>
      </c>
      <c r="G20" s="25">
        <v>10</v>
      </c>
      <c r="H20" s="25" t="s">
        <v>88</v>
      </c>
      <c r="I20" s="42" t="s">
        <v>176</v>
      </c>
      <c r="J20" s="313">
        <v>30837092</v>
      </c>
      <c r="K20" s="313">
        <v>31584291</v>
      </c>
      <c r="L20" s="313">
        <v>35972143</v>
      </c>
      <c r="M20" s="635">
        <v>30000000</v>
      </c>
      <c r="N20" s="45"/>
      <c r="O20" s="45"/>
      <c r="P20" s="45">
        <f t="shared" si="5"/>
        <v>30000000</v>
      </c>
      <c r="Q20" s="268"/>
      <c r="R20" s="268">
        <v>1000000</v>
      </c>
      <c r="S20" s="308"/>
      <c r="T20" s="268">
        <f t="shared" si="6"/>
        <v>1000000</v>
      </c>
    </row>
    <row r="21" spans="1:20" ht="36" x14ac:dyDescent="0.25">
      <c r="A21" s="38">
        <v>2</v>
      </c>
      <c r="B21" s="38">
        <v>0</v>
      </c>
      <c r="C21" s="38">
        <v>4</v>
      </c>
      <c r="D21" s="38">
        <v>4</v>
      </c>
      <c r="E21" s="38">
        <v>21</v>
      </c>
      <c r="F21" s="38" t="s">
        <v>147</v>
      </c>
      <c r="G21" s="25">
        <v>10</v>
      </c>
      <c r="H21" s="25" t="s">
        <v>88</v>
      </c>
      <c r="I21" s="36" t="s">
        <v>151</v>
      </c>
      <c r="J21" s="658">
        <v>471340</v>
      </c>
      <c r="K21" s="658">
        <v>169190</v>
      </c>
      <c r="L21" s="658"/>
      <c r="M21" s="45"/>
      <c r="N21" s="45"/>
      <c r="O21" s="45"/>
      <c r="P21" s="45">
        <f t="shared" si="5"/>
        <v>0</v>
      </c>
      <c r="Q21" s="268"/>
      <c r="R21" s="268">
        <v>0</v>
      </c>
      <c r="S21" s="268"/>
      <c r="T21" s="268">
        <f t="shared" si="6"/>
        <v>0</v>
      </c>
    </row>
    <row r="22" spans="1:20" ht="36" x14ac:dyDescent="0.25">
      <c r="A22" s="38">
        <v>2</v>
      </c>
      <c r="B22" s="38">
        <v>0</v>
      </c>
      <c r="C22" s="38">
        <v>4</v>
      </c>
      <c r="D22" s="38">
        <v>4</v>
      </c>
      <c r="E22" s="38">
        <v>23</v>
      </c>
      <c r="F22" s="38" t="s">
        <v>147</v>
      </c>
      <c r="G22" s="25">
        <v>10</v>
      </c>
      <c r="H22" s="25" t="s">
        <v>88</v>
      </c>
      <c r="I22" s="36" t="s">
        <v>130</v>
      </c>
      <c r="J22" s="658">
        <v>6562350</v>
      </c>
      <c r="K22" s="658">
        <v>3699162</v>
      </c>
      <c r="L22" s="658">
        <v>23036241</v>
      </c>
      <c r="M22" s="45">
        <v>5000000</v>
      </c>
      <c r="N22" s="45"/>
      <c r="O22" s="45"/>
      <c r="P22" s="45">
        <f t="shared" si="5"/>
        <v>5000000</v>
      </c>
      <c r="Q22" s="268">
        <v>4000000</v>
      </c>
      <c r="R22" s="268">
        <v>0</v>
      </c>
      <c r="S22" s="268"/>
      <c r="T22" s="268">
        <f t="shared" si="6"/>
        <v>0</v>
      </c>
    </row>
    <row r="23" spans="1:20" ht="20.25" x14ac:dyDescent="0.25">
      <c r="A23" s="32"/>
      <c r="B23" s="32"/>
      <c r="C23" s="32"/>
      <c r="D23" s="32"/>
      <c r="E23" s="32"/>
      <c r="F23" s="32"/>
      <c r="G23" s="33"/>
      <c r="H23" s="33"/>
      <c r="I23" s="35" t="s">
        <v>131</v>
      </c>
      <c r="J23" s="279">
        <f t="shared" ref="J23:T23" si="7">SUM(J14:J22)</f>
        <v>211416154.78999999</v>
      </c>
      <c r="K23" s="279">
        <f t="shared" si="7"/>
        <v>194678763.19999999</v>
      </c>
      <c r="L23" s="279">
        <f t="shared" si="7"/>
        <v>154898404</v>
      </c>
      <c r="M23" s="280">
        <f t="shared" ref="M23:R23" si="8">SUM(M14:M22)</f>
        <v>311200000</v>
      </c>
      <c r="N23" s="280">
        <f t="shared" si="8"/>
        <v>0</v>
      </c>
      <c r="O23" s="280">
        <f t="shared" si="8"/>
        <v>0</v>
      </c>
      <c r="P23" s="280">
        <f t="shared" si="8"/>
        <v>311200000</v>
      </c>
      <c r="Q23" s="49">
        <f t="shared" si="8"/>
        <v>4000000</v>
      </c>
      <c r="R23" s="49">
        <f t="shared" si="8"/>
        <v>21800000</v>
      </c>
      <c r="S23" s="49">
        <f>SUM(S14:S22)</f>
        <v>0</v>
      </c>
      <c r="T23" s="49">
        <f t="shared" si="7"/>
        <v>21800000</v>
      </c>
    </row>
    <row r="24" spans="1:20" ht="22.9" customHeight="1" x14ac:dyDescent="0.25">
      <c r="A24" s="793" t="s">
        <v>132</v>
      </c>
      <c r="B24" s="793"/>
      <c r="C24" s="793"/>
      <c r="D24" s="793"/>
      <c r="E24" s="793"/>
      <c r="F24" s="793"/>
      <c r="G24" s="793"/>
      <c r="H24" s="793"/>
      <c r="I24" s="793"/>
      <c r="J24" s="25"/>
      <c r="K24" s="25"/>
      <c r="L24" s="25"/>
      <c r="M24" s="50"/>
      <c r="N24" s="50"/>
      <c r="O24" s="50"/>
      <c r="P24" s="50"/>
      <c r="Q24" s="50"/>
      <c r="R24" s="50"/>
      <c r="S24" s="50"/>
      <c r="T24" s="50"/>
    </row>
    <row r="25" spans="1:20" ht="36" x14ac:dyDescent="0.25">
      <c r="A25" s="38">
        <v>2</v>
      </c>
      <c r="B25" s="38">
        <v>0</v>
      </c>
      <c r="C25" s="38">
        <v>4</v>
      </c>
      <c r="D25" s="38">
        <v>5</v>
      </c>
      <c r="E25" s="38">
        <v>1</v>
      </c>
      <c r="F25" s="38" t="s">
        <v>147</v>
      </c>
      <c r="G25" s="25">
        <v>10</v>
      </c>
      <c r="H25" s="25" t="s">
        <v>88</v>
      </c>
      <c r="I25" s="42" t="s">
        <v>375</v>
      </c>
      <c r="J25" s="658">
        <v>6719205</v>
      </c>
      <c r="K25" s="658">
        <v>19966682</v>
      </c>
      <c r="L25" s="658">
        <v>6801902</v>
      </c>
      <c r="M25" s="635">
        <v>110520000</v>
      </c>
      <c r="N25" s="45"/>
      <c r="O25" s="45"/>
      <c r="P25" s="45">
        <f t="shared" ref="P25:P31" si="9">SUM(M25+N25-O25)</f>
        <v>110520000</v>
      </c>
      <c r="Q25" s="268"/>
      <c r="R25" s="268">
        <v>2500000</v>
      </c>
      <c r="S25" s="308"/>
      <c r="T25" s="268">
        <f t="shared" ref="T25:T31" si="10">SUM(R25-S25)</f>
        <v>2500000</v>
      </c>
    </row>
    <row r="26" spans="1:20" ht="36" x14ac:dyDescent="0.25">
      <c r="A26" s="38">
        <v>2</v>
      </c>
      <c r="B26" s="38">
        <v>0</v>
      </c>
      <c r="C26" s="38">
        <v>4</v>
      </c>
      <c r="D26" s="38">
        <v>5</v>
      </c>
      <c r="E26" s="38">
        <v>2</v>
      </c>
      <c r="F26" s="38" t="s">
        <v>147</v>
      </c>
      <c r="G26" s="25">
        <v>10</v>
      </c>
      <c r="H26" s="25" t="s">
        <v>88</v>
      </c>
      <c r="I26" s="42" t="s">
        <v>185</v>
      </c>
      <c r="J26" s="313">
        <v>7601780</v>
      </c>
      <c r="K26" s="313">
        <v>16820404</v>
      </c>
      <c r="L26" s="313">
        <v>6296858</v>
      </c>
      <c r="M26" s="635">
        <v>35500000</v>
      </c>
      <c r="N26" s="45"/>
      <c r="O26" s="45"/>
      <c r="P26" s="45">
        <f t="shared" si="9"/>
        <v>35500000</v>
      </c>
      <c r="Q26" s="268"/>
      <c r="R26" s="321">
        <v>5200000</v>
      </c>
      <c r="S26" s="322"/>
      <c r="T26" s="268">
        <f t="shared" si="10"/>
        <v>5200000</v>
      </c>
    </row>
    <row r="27" spans="1:20" ht="36" x14ac:dyDescent="0.25">
      <c r="A27" s="38">
        <v>2</v>
      </c>
      <c r="B27" s="38">
        <v>0</v>
      </c>
      <c r="C27" s="38">
        <v>4</v>
      </c>
      <c r="D27" s="38">
        <v>5</v>
      </c>
      <c r="E27" s="38">
        <v>5</v>
      </c>
      <c r="F27" s="38" t="s">
        <v>147</v>
      </c>
      <c r="G27" s="25">
        <v>10</v>
      </c>
      <c r="H27" s="25" t="s">
        <v>88</v>
      </c>
      <c r="I27" s="42" t="s">
        <v>184</v>
      </c>
      <c r="J27" s="324">
        <v>79507354</v>
      </c>
      <c r="K27" s="324">
        <v>287072300.5</v>
      </c>
      <c r="L27" s="324">
        <v>192403910</v>
      </c>
      <c r="M27" s="635">
        <v>131200000</v>
      </c>
      <c r="N27" s="45"/>
      <c r="O27" s="45"/>
      <c r="P27" s="45">
        <f t="shared" si="9"/>
        <v>131200000</v>
      </c>
      <c r="Q27" s="268"/>
      <c r="R27" s="268">
        <v>600000</v>
      </c>
      <c r="S27" s="268"/>
      <c r="T27" s="268">
        <f t="shared" si="10"/>
        <v>600000</v>
      </c>
    </row>
    <row r="28" spans="1:20" ht="36" x14ac:dyDescent="0.25">
      <c r="A28" s="38">
        <v>2</v>
      </c>
      <c r="B28" s="38">
        <v>0</v>
      </c>
      <c r="C28" s="38">
        <v>4</v>
      </c>
      <c r="D28" s="38">
        <v>5</v>
      </c>
      <c r="E28" s="38">
        <v>6</v>
      </c>
      <c r="F28" s="38" t="s">
        <v>147</v>
      </c>
      <c r="G28" s="25">
        <v>10</v>
      </c>
      <c r="H28" s="25" t="s">
        <v>88</v>
      </c>
      <c r="I28" s="42" t="s">
        <v>116</v>
      </c>
      <c r="J28" s="658">
        <v>21600000</v>
      </c>
      <c r="K28" s="658">
        <v>21600000</v>
      </c>
      <c r="L28" s="658">
        <v>17451732</v>
      </c>
      <c r="M28" s="635">
        <v>29000000</v>
      </c>
      <c r="N28" s="45"/>
      <c r="O28" s="45"/>
      <c r="P28" s="45">
        <f t="shared" si="9"/>
        <v>29000000</v>
      </c>
      <c r="Q28" s="268"/>
      <c r="R28" s="268"/>
      <c r="S28" s="268"/>
      <c r="T28" s="268">
        <f t="shared" si="10"/>
        <v>0</v>
      </c>
    </row>
    <row r="29" spans="1:20" ht="21" customHeight="1" x14ac:dyDescent="0.25">
      <c r="A29" s="38">
        <v>2</v>
      </c>
      <c r="B29" s="38">
        <v>0</v>
      </c>
      <c r="C29" s="38">
        <v>4</v>
      </c>
      <c r="D29" s="38">
        <v>5</v>
      </c>
      <c r="E29" s="38">
        <v>8</v>
      </c>
      <c r="F29" s="38" t="s">
        <v>147</v>
      </c>
      <c r="G29" s="25">
        <v>10</v>
      </c>
      <c r="H29" s="25" t="s">
        <v>88</v>
      </c>
      <c r="I29" s="42" t="s">
        <v>133</v>
      </c>
      <c r="J29" s="658">
        <v>102285363.8</v>
      </c>
      <c r="K29" s="658">
        <v>105523727</v>
      </c>
      <c r="L29" s="658">
        <v>89283685</v>
      </c>
      <c r="M29" s="635">
        <v>189000000</v>
      </c>
      <c r="N29" s="45"/>
      <c r="O29" s="45"/>
      <c r="P29" s="45">
        <f t="shared" si="9"/>
        <v>189000000</v>
      </c>
      <c r="Q29" s="268"/>
      <c r="R29" s="268"/>
      <c r="S29" s="268"/>
      <c r="T29" s="268">
        <f t="shared" si="10"/>
        <v>0</v>
      </c>
    </row>
    <row r="30" spans="1:20" ht="36" x14ac:dyDescent="0.25">
      <c r="A30" s="38">
        <v>2</v>
      </c>
      <c r="B30" s="38">
        <v>0</v>
      </c>
      <c r="C30" s="38">
        <v>4</v>
      </c>
      <c r="D30" s="38">
        <v>5</v>
      </c>
      <c r="E30" s="38">
        <v>10</v>
      </c>
      <c r="F30" s="38" t="s">
        <v>147</v>
      </c>
      <c r="G30" s="25">
        <v>10</v>
      </c>
      <c r="H30" s="25" t="s">
        <v>88</v>
      </c>
      <c r="I30" s="42" t="s">
        <v>117</v>
      </c>
      <c r="J30" s="658">
        <v>152736982</v>
      </c>
      <c r="K30" s="658">
        <v>159603012</v>
      </c>
      <c r="L30" s="658">
        <v>139184373</v>
      </c>
      <c r="M30" s="635">
        <v>197000000</v>
      </c>
      <c r="N30" s="45"/>
      <c r="O30" s="45"/>
      <c r="P30" s="45">
        <f t="shared" si="9"/>
        <v>197000000</v>
      </c>
      <c r="Q30" s="268"/>
      <c r="R30" s="268"/>
      <c r="S30" s="268"/>
      <c r="T30" s="268">
        <f t="shared" si="10"/>
        <v>0</v>
      </c>
    </row>
    <row r="31" spans="1:20" ht="36" x14ac:dyDescent="0.25">
      <c r="A31" s="38">
        <v>2</v>
      </c>
      <c r="B31" s="38">
        <v>0</v>
      </c>
      <c r="C31" s="38">
        <v>4</v>
      </c>
      <c r="D31" s="38">
        <v>5</v>
      </c>
      <c r="E31" s="38">
        <v>12</v>
      </c>
      <c r="F31" s="38" t="s">
        <v>147</v>
      </c>
      <c r="G31" s="25">
        <v>10</v>
      </c>
      <c r="H31" s="25" t="s">
        <v>88</v>
      </c>
      <c r="I31" s="42" t="s">
        <v>118</v>
      </c>
      <c r="J31" s="658">
        <v>1449028</v>
      </c>
      <c r="K31" s="658">
        <v>54500</v>
      </c>
      <c r="L31" s="658">
        <v>3845289</v>
      </c>
      <c r="M31" s="45">
        <v>2000000</v>
      </c>
      <c r="N31" s="45"/>
      <c r="O31" s="45"/>
      <c r="P31" s="45">
        <f t="shared" si="9"/>
        <v>2000000</v>
      </c>
      <c r="Q31" s="268">
        <v>1500000</v>
      </c>
      <c r="R31" s="268">
        <v>500000</v>
      </c>
      <c r="S31" s="308"/>
      <c r="T31" s="268">
        <f t="shared" si="10"/>
        <v>500000</v>
      </c>
    </row>
    <row r="32" spans="1:20" ht="20.25" x14ac:dyDescent="0.25">
      <c r="A32" s="32"/>
      <c r="B32" s="32"/>
      <c r="C32" s="32"/>
      <c r="D32" s="32"/>
      <c r="E32" s="32"/>
      <c r="F32" s="32"/>
      <c r="G32" s="33"/>
      <c r="H32" s="33"/>
      <c r="I32" s="35" t="s">
        <v>134</v>
      </c>
      <c r="J32" s="279">
        <f t="shared" ref="J32:T32" si="11">SUM(J25:J31)</f>
        <v>371899712.80000001</v>
      </c>
      <c r="K32" s="279">
        <f t="shared" si="11"/>
        <v>610640625.5</v>
      </c>
      <c r="L32" s="279">
        <f t="shared" si="11"/>
        <v>455267749</v>
      </c>
      <c r="M32" s="280">
        <f>SUM(M24:M31)</f>
        <v>694220000</v>
      </c>
      <c r="N32" s="280">
        <f>SUM(N24:N31)</f>
        <v>0</v>
      </c>
      <c r="O32" s="280">
        <f>SUM(O24:O31)</f>
        <v>0</v>
      </c>
      <c r="P32" s="280">
        <f>SUM(P24:P31)</f>
        <v>694220000</v>
      </c>
      <c r="Q32" s="49">
        <f>SUM(Q25:Q31)</f>
        <v>1500000</v>
      </c>
      <c r="R32" s="49">
        <f t="shared" si="11"/>
        <v>8800000</v>
      </c>
      <c r="S32" s="49">
        <f t="shared" si="11"/>
        <v>0</v>
      </c>
      <c r="T32" s="49">
        <f t="shared" si="11"/>
        <v>8800000</v>
      </c>
    </row>
    <row r="33" spans="1:20" ht="20.25" x14ac:dyDescent="0.25">
      <c r="A33" s="793" t="s">
        <v>124</v>
      </c>
      <c r="B33" s="793"/>
      <c r="C33" s="793"/>
      <c r="D33" s="793"/>
      <c r="E33" s="793"/>
      <c r="F33" s="793"/>
      <c r="G33" s="793"/>
      <c r="H33" s="793"/>
      <c r="I33" s="793"/>
      <c r="J33" s="25"/>
      <c r="K33" s="25"/>
      <c r="L33" s="25"/>
      <c r="M33" s="50"/>
      <c r="N33" s="50"/>
      <c r="O33" s="50"/>
      <c r="P33" s="50"/>
      <c r="Q33" s="50"/>
      <c r="R33" s="50"/>
      <c r="S33" s="50"/>
      <c r="T33" s="50"/>
    </row>
    <row r="34" spans="1:20" ht="36" x14ac:dyDescent="0.25">
      <c r="A34" s="38">
        <v>2</v>
      </c>
      <c r="B34" s="38">
        <v>0</v>
      </c>
      <c r="C34" s="38">
        <v>4</v>
      </c>
      <c r="D34" s="38">
        <v>6</v>
      </c>
      <c r="E34" s="38">
        <v>2</v>
      </c>
      <c r="F34" s="38" t="s">
        <v>147</v>
      </c>
      <c r="G34" s="25">
        <v>10</v>
      </c>
      <c r="H34" s="25" t="s">
        <v>88</v>
      </c>
      <c r="I34" s="36" t="s">
        <v>119</v>
      </c>
      <c r="J34" s="658">
        <v>56623255</v>
      </c>
      <c r="K34" s="658">
        <v>80264238</v>
      </c>
      <c r="L34" s="658">
        <v>102393891</v>
      </c>
      <c r="M34" s="635">
        <v>113000000</v>
      </c>
      <c r="N34" s="45"/>
      <c r="O34" s="45"/>
      <c r="P34" s="45">
        <f>SUM(M34+N34-O34)</f>
        <v>113000000</v>
      </c>
      <c r="Q34" s="268"/>
      <c r="R34" s="268">
        <v>1000000</v>
      </c>
      <c r="S34" s="308"/>
      <c r="T34" s="268">
        <f>SUM(R34-S34)</f>
        <v>1000000</v>
      </c>
    </row>
    <row r="35" spans="1:20" ht="36" x14ac:dyDescent="0.25">
      <c r="A35" s="38">
        <v>2</v>
      </c>
      <c r="B35" s="38">
        <v>0</v>
      </c>
      <c r="C35" s="38">
        <v>4</v>
      </c>
      <c r="D35" s="38">
        <v>6</v>
      </c>
      <c r="E35" s="38">
        <v>5</v>
      </c>
      <c r="F35" s="38" t="s">
        <v>147</v>
      </c>
      <c r="G35" s="25">
        <v>10</v>
      </c>
      <c r="H35" s="25" t="s">
        <v>88</v>
      </c>
      <c r="I35" s="42" t="s">
        <v>120</v>
      </c>
      <c r="J35" s="658">
        <v>16573350</v>
      </c>
      <c r="K35" s="658">
        <v>133954639</v>
      </c>
      <c r="L35" s="658">
        <v>497266364</v>
      </c>
      <c r="M35" s="635">
        <v>980000000</v>
      </c>
      <c r="N35" s="45"/>
      <c r="O35" s="45"/>
      <c r="P35" s="45">
        <f>SUM(M35+N35-O35)</f>
        <v>980000000</v>
      </c>
      <c r="Q35" s="268"/>
      <c r="R35" s="268"/>
      <c r="S35" s="268"/>
      <c r="T35" s="268">
        <f>SUM(R35-S35)</f>
        <v>0</v>
      </c>
    </row>
    <row r="36" spans="1:20" ht="36" x14ac:dyDescent="0.25">
      <c r="A36" s="38">
        <v>2</v>
      </c>
      <c r="B36" s="38">
        <v>0</v>
      </c>
      <c r="C36" s="38">
        <v>4</v>
      </c>
      <c r="D36" s="38">
        <v>6</v>
      </c>
      <c r="E36" s="38">
        <v>7</v>
      </c>
      <c r="F36" s="38" t="s">
        <v>147</v>
      </c>
      <c r="G36" s="25">
        <v>10</v>
      </c>
      <c r="H36" s="25" t="s">
        <v>88</v>
      </c>
      <c r="I36" s="42" t="s">
        <v>121</v>
      </c>
      <c r="J36" s="658">
        <v>2968650</v>
      </c>
      <c r="K36" s="658">
        <v>3042900</v>
      </c>
      <c r="L36" s="658">
        <v>0</v>
      </c>
      <c r="M36" s="635">
        <v>5100000</v>
      </c>
      <c r="N36" s="45"/>
      <c r="O36" s="45"/>
      <c r="P36" s="45">
        <f>SUM(M36+N36-O36)</f>
        <v>5100000</v>
      </c>
      <c r="Q36" s="268"/>
      <c r="R36" s="268">
        <v>2700000</v>
      </c>
      <c r="S36" s="308"/>
      <c r="T36" s="268">
        <f>SUM(R36-S36)</f>
        <v>2700000</v>
      </c>
    </row>
    <row r="37" spans="1:20" ht="36" x14ac:dyDescent="0.25">
      <c r="A37" s="38">
        <v>2</v>
      </c>
      <c r="B37" s="38">
        <v>0</v>
      </c>
      <c r="C37" s="38">
        <v>4</v>
      </c>
      <c r="D37" s="38">
        <v>6</v>
      </c>
      <c r="E37" s="38">
        <v>8</v>
      </c>
      <c r="F37" s="38" t="s">
        <v>147</v>
      </c>
      <c r="G37" s="25">
        <v>10</v>
      </c>
      <c r="H37" s="25" t="s">
        <v>88</v>
      </c>
      <c r="I37" s="42" t="s">
        <v>377</v>
      </c>
      <c r="J37" s="658">
        <v>3728944</v>
      </c>
      <c r="K37" s="658">
        <v>4108750</v>
      </c>
      <c r="L37" s="658">
        <f>3344323+1826294</f>
        <v>5170617</v>
      </c>
      <c r="M37" s="635">
        <v>5400000</v>
      </c>
      <c r="N37" s="45"/>
      <c r="O37" s="45"/>
      <c r="P37" s="45">
        <f>SUM(M37+N37-O37)</f>
        <v>5400000</v>
      </c>
      <c r="Q37" s="268">
        <v>1500000</v>
      </c>
      <c r="R37" s="268"/>
      <c r="S37" s="268"/>
      <c r="T37" s="268">
        <f>SUM(R37-S37)</f>
        <v>0</v>
      </c>
    </row>
    <row r="38" spans="1:20" ht="28.5" x14ac:dyDescent="0.25">
      <c r="A38" s="32"/>
      <c r="B38" s="32"/>
      <c r="C38" s="32"/>
      <c r="D38" s="32"/>
      <c r="E38" s="32"/>
      <c r="F38" s="32"/>
      <c r="G38" s="33"/>
      <c r="H38" s="33"/>
      <c r="I38" s="35" t="s">
        <v>136</v>
      </c>
      <c r="J38" s="279">
        <f>SUM(J34:J37)</f>
        <v>79894199</v>
      </c>
      <c r="K38" s="279">
        <f>SUM(K34:K37)</f>
        <v>221370527</v>
      </c>
      <c r="L38" s="279">
        <f>SUM(L34:L37)</f>
        <v>604830872</v>
      </c>
      <c r="M38" s="280">
        <f>SUM(M33:M37)</f>
        <v>1103500000</v>
      </c>
      <c r="N38" s="280">
        <f>SUM(N33:N37)</f>
        <v>0</v>
      </c>
      <c r="O38" s="280">
        <f>SUM(O33:O37)</f>
        <v>0</v>
      </c>
      <c r="P38" s="280">
        <f>SUM(P33:P37)</f>
        <v>1103500000</v>
      </c>
      <c r="Q38" s="49">
        <f>SUM(Q34:Q37)</f>
        <v>1500000</v>
      </c>
      <c r="R38" s="49">
        <f>SUM(R34:R37)</f>
        <v>3700000</v>
      </c>
      <c r="S38" s="49">
        <f t="shared" ref="S38:T38" si="12">SUM(S34:S37)</f>
        <v>0</v>
      </c>
      <c r="T38" s="49">
        <f t="shared" si="12"/>
        <v>3700000</v>
      </c>
    </row>
    <row r="39" spans="1:20" ht="20.25" x14ac:dyDescent="0.25">
      <c r="A39" s="793" t="s">
        <v>122</v>
      </c>
      <c r="B39" s="793"/>
      <c r="C39" s="793"/>
      <c r="D39" s="793"/>
      <c r="E39" s="793"/>
      <c r="F39" s="793"/>
      <c r="G39" s="793"/>
      <c r="H39" s="793"/>
      <c r="I39" s="793" t="s">
        <v>122</v>
      </c>
      <c r="J39" s="25"/>
      <c r="K39" s="25"/>
      <c r="L39" s="25"/>
      <c r="M39" s="50"/>
      <c r="N39" s="50"/>
      <c r="O39" s="50"/>
      <c r="P39" s="50"/>
      <c r="Q39" s="50"/>
      <c r="R39" s="50"/>
      <c r="S39" s="50"/>
      <c r="T39" s="50"/>
    </row>
    <row r="40" spans="1:20" ht="36" x14ac:dyDescent="0.25">
      <c r="A40" s="38">
        <v>2</v>
      </c>
      <c r="B40" s="38">
        <v>0</v>
      </c>
      <c r="C40" s="38">
        <v>4</v>
      </c>
      <c r="D40" s="38">
        <v>7</v>
      </c>
      <c r="E40" s="38">
        <v>1</v>
      </c>
      <c r="F40" s="38" t="s">
        <v>147</v>
      </c>
      <c r="G40" s="25">
        <v>9</v>
      </c>
      <c r="H40" s="25" t="s">
        <v>88</v>
      </c>
      <c r="I40" s="36" t="s">
        <v>150</v>
      </c>
      <c r="J40" s="658">
        <v>746200</v>
      </c>
      <c r="K40" s="658">
        <v>85400</v>
      </c>
      <c r="L40" s="658"/>
      <c r="M40" s="45"/>
      <c r="N40" s="45"/>
      <c r="O40" s="45"/>
      <c r="P40" s="45">
        <f>SUM(M40+N40-O40)</f>
        <v>0</v>
      </c>
      <c r="Q40" s="268"/>
      <c r="R40" s="268">
        <v>0</v>
      </c>
      <c r="S40" s="268">
        <v>0</v>
      </c>
      <c r="T40" s="268">
        <f>SUM(R40-S40)</f>
        <v>0</v>
      </c>
    </row>
    <row r="41" spans="1:20" ht="45" x14ac:dyDescent="0.25">
      <c r="A41" s="38">
        <v>2</v>
      </c>
      <c r="B41" s="38">
        <v>0</v>
      </c>
      <c r="C41" s="38">
        <v>4</v>
      </c>
      <c r="D41" s="38">
        <v>7</v>
      </c>
      <c r="E41" s="38">
        <v>3</v>
      </c>
      <c r="F41" s="38" t="s">
        <v>90</v>
      </c>
      <c r="G41" s="25">
        <v>10</v>
      </c>
      <c r="H41" s="25" t="s">
        <v>88</v>
      </c>
      <c r="I41" s="36" t="s">
        <v>149</v>
      </c>
      <c r="J41" s="658">
        <v>111300</v>
      </c>
      <c r="K41" s="658">
        <v>120960</v>
      </c>
      <c r="L41" s="658"/>
      <c r="M41" s="45"/>
      <c r="N41" s="45"/>
      <c r="O41" s="45"/>
      <c r="P41" s="45">
        <f>SUM(M41+N41-O41)</f>
        <v>0</v>
      </c>
      <c r="Q41" s="268"/>
      <c r="R41" s="268"/>
      <c r="S41" s="268">
        <v>0</v>
      </c>
      <c r="T41" s="268">
        <f>SUM(R41-S41)</f>
        <v>0</v>
      </c>
    </row>
    <row r="42" spans="1:20" ht="36" x14ac:dyDescent="0.25">
      <c r="A42" s="38">
        <v>2</v>
      </c>
      <c r="B42" s="38">
        <v>0</v>
      </c>
      <c r="C42" s="38">
        <v>4</v>
      </c>
      <c r="D42" s="38">
        <v>7</v>
      </c>
      <c r="E42" s="38">
        <v>5</v>
      </c>
      <c r="F42" s="38" t="s">
        <v>147</v>
      </c>
      <c r="G42" s="25">
        <v>10</v>
      </c>
      <c r="H42" s="25" t="s">
        <v>88</v>
      </c>
      <c r="I42" s="42" t="s">
        <v>123</v>
      </c>
      <c r="J42" s="658">
        <v>2293000</v>
      </c>
      <c r="K42" s="658">
        <v>1674000</v>
      </c>
      <c r="L42" s="658">
        <v>683998</v>
      </c>
      <c r="M42" s="635">
        <v>6000000</v>
      </c>
      <c r="N42" s="45"/>
      <c r="O42" s="45"/>
      <c r="P42" s="45">
        <f>SUM(M42+N42-O42)</f>
        <v>6000000</v>
      </c>
      <c r="Q42" s="268"/>
      <c r="R42" s="268"/>
      <c r="S42" s="268"/>
      <c r="T42" s="268">
        <f>SUM(R42-S42)</f>
        <v>0</v>
      </c>
    </row>
    <row r="43" spans="1:20" ht="36" x14ac:dyDescent="0.25">
      <c r="A43" s="38">
        <v>2</v>
      </c>
      <c r="B43" s="38">
        <v>0</v>
      </c>
      <c r="C43" s="38">
        <v>4</v>
      </c>
      <c r="D43" s="38">
        <v>7</v>
      </c>
      <c r="E43" s="38">
        <v>6</v>
      </c>
      <c r="F43" s="38" t="s">
        <v>147</v>
      </c>
      <c r="G43" s="25">
        <v>10</v>
      </c>
      <c r="H43" s="25" t="s">
        <v>88</v>
      </c>
      <c r="I43" s="42" t="s">
        <v>212</v>
      </c>
      <c r="J43" s="658">
        <v>5955458</v>
      </c>
      <c r="K43" s="658">
        <v>4360858</v>
      </c>
      <c r="L43" s="658">
        <f>1454877</f>
        <v>1454877</v>
      </c>
      <c r="M43" s="635">
        <v>5500000</v>
      </c>
      <c r="N43" s="45"/>
      <c r="O43" s="45"/>
      <c r="P43" s="45">
        <f>SUM(M43+N43-O43)</f>
        <v>5500000</v>
      </c>
      <c r="Q43" s="49">
        <v>500000</v>
      </c>
      <c r="R43" s="49">
        <v>2500000</v>
      </c>
      <c r="S43" s="308"/>
      <c r="T43" s="268">
        <f>SUM(R43-S43)</f>
        <v>2500000</v>
      </c>
    </row>
    <row r="44" spans="1:20" ht="36" x14ac:dyDescent="0.25">
      <c r="A44" s="32"/>
      <c r="B44" s="32"/>
      <c r="C44" s="32"/>
      <c r="D44" s="32"/>
      <c r="E44" s="32"/>
      <c r="F44" s="32" t="s">
        <v>147</v>
      </c>
      <c r="G44" s="33"/>
      <c r="H44" s="33"/>
      <c r="I44" s="35" t="s">
        <v>152</v>
      </c>
      <c r="J44" s="279">
        <f>SUM(J40:J43)</f>
        <v>9105958</v>
      </c>
      <c r="K44" s="279">
        <f>SUM(K40:K43)</f>
        <v>6241218</v>
      </c>
      <c r="L44" s="279">
        <f>SUM(L40:L43)</f>
        <v>2138875</v>
      </c>
      <c r="M44" s="280">
        <f>SUM(M40:M43)</f>
        <v>11500000</v>
      </c>
      <c r="N44" s="280">
        <f t="shared" ref="N44:T44" si="13">SUM(N40:N43)</f>
        <v>0</v>
      </c>
      <c r="O44" s="280">
        <f t="shared" si="13"/>
        <v>0</v>
      </c>
      <c r="P44" s="280">
        <f t="shared" si="13"/>
        <v>11500000</v>
      </c>
      <c r="Q44" s="49">
        <f t="shared" si="13"/>
        <v>500000</v>
      </c>
      <c r="R44" s="49">
        <f t="shared" si="13"/>
        <v>2500000</v>
      </c>
      <c r="S44" s="49">
        <f t="shared" si="13"/>
        <v>0</v>
      </c>
      <c r="T44" s="49">
        <f t="shared" si="13"/>
        <v>2500000</v>
      </c>
    </row>
    <row r="45" spans="1:20" ht="20.25" x14ac:dyDescent="0.25">
      <c r="A45" s="793" t="s">
        <v>378</v>
      </c>
      <c r="B45" s="793"/>
      <c r="C45" s="793"/>
      <c r="D45" s="793"/>
      <c r="E45" s="793"/>
      <c r="F45" s="793"/>
      <c r="G45" s="793"/>
      <c r="H45" s="793"/>
      <c r="I45" s="793"/>
      <c r="J45" s="658"/>
      <c r="K45" s="658"/>
      <c r="L45" s="658"/>
      <c r="M45" s="45"/>
      <c r="N45" s="45"/>
      <c r="O45" s="45"/>
      <c r="P45" s="45"/>
      <c r="Q45" s="268"/>
      <c r="R45" s="268"/>
      <c r="S45" s="268"/>
      <c r="T45" s="268"/>
    </row>
    <row r="46" spans="1:20" ht="36" x14ac:dyDescent="0.25">
      <c r="A46" s="38">
        <v>2</v>
      </c>
      <c r="B46" s="38">
        <v>0</v>
      </c>
      <c r="C46" s="38">
        <v>4</v>
      </c>
      <c r="D46" s="38">
        <v>8</v>
      </c>
      <c r="E46" s="38">
        <v>1</v>
      </c>
      <c r="F46" s="38" t="s">
        <v>147</v>
      </c>
      <c r="G46" s="25">
        <v>10</v>
      </c>
      <c r="H46" s="25" t="s">
        <v>88</v>
      </c>
      <c r="I46" s="332" t="s">
        <v>383</v>
      </c>
      <c r="J46" s="658">
        <v>6186430</v>
      </c>
      <c r="K46" s="658">
        <v>6607190</v>
      </c>
      <c r="L46" s="658">
        <v>9941102</v>
      </c>
      <c r="M46" s="635">
        <v>10000000</v>
      </c>
      <c r="N46" s="192"/>
      <c r="O46" s="45"/>
      <c r="P46" s="45">
        <f>SUM(M46+N46-O46)</f>
        <v>10000000</v>
      </c>
      <c r="Q46" s="268"/>
      <c r="R46" s="268"/>
      <c r="S46" s="268"/>
      <c r="T46" s="268"/>
    </row>
    <row r="47" spans="1:20" ht="36" x14ac:dyDescent="0.25">
      <c r="A47" s="38">
        <v>2</v>
      </c>
      <c r="B47" s="38">
        <v>0</v>
      </c>
      <c r="C47" s="38">
        <v>4</v>
      </c>
      <c r="D47" s="38">
        <v>8</v>
      </c>
      <c r="E47" s="38">
        <v>2</v>
      </c>
      <c r="F47" s="38" t="s">
        <v>147</v>
      </c>
      <c r="G47" s="25">
        <v>10</v>
      </c>
      <c r="H47" s="25" t="s">
        <v>88</v>
      </c>
      <c r="I47" s="332" t="s">
        <v>384</v>
      </c>
      <c r="J47" s="658">
        <v>93438200</v>
      </c>
      <c r="K47" s="658">
        <v>94312740</v>
      </c>
      <c r="L47" s="658">
        <v>103921690</v>
      </c>
      <c r="M47" s="635">
        <v>127000000</v>
      </c>
      <c r="N47" s="45"/>
      <c r="O47" s="45"/>
      <c r="P47" s="45">
        <f>SUM(M47+N47-O47)</f>
        <v>127000000</v>
      </c>
      <c r="Q47" s="268"/>
      <c r="R47" s="268"/>
      <c r="S47" s="268"/>
      <c r="T47" s="268"/>
    </row>
    <row r="48" spans="1:20" ht="36" x14ac:dyDescent="0.25">
      <c r="A48" s="38">
        <v>2</v>
      </c>
      <c r="B48" s="38">
        <v>0</v>
      </c>
      <c r="C48" s="38">
        <v>4</v>
      </c>
      <c r="D48" s="38">
        <v>8</v>
      </c>
      <c r="E48" s="38">
        <v>5</v>
      </c>
      <c r="F48" s="38" t="s">
        <v>147</v>
      </c>
      <c r="G48" s="25">
        <v>10</v>
      </c>
      <c r="H48" s="25" t="s">
        <v>88</v>
      </c>
      <c r="I48" s="332" t="s">
        <v>385</v>
      </c>
      <c r="J48" s="658">
        <v>38584988</v>
      </c>
      <c r="K48" s="658">
        <v>37647973</v>
      </c>
      <c r="L48" s="658">
        <v>29818737</v>
      </c>
      <c r="M48" s="635">
        <v>19000000</v>
      </c>
      <c r="N48" s="45"/>
      <c r="O48" s="45"/>
      <c r="P48" s="45">
        <f>SUM(M48+N48-O48)</f>
        <v>19000000</v>
      </c>
      <c r="Q48" s="268"/>
      <c r="R48" s="268"/>
      <c r="S48" s="268"/>
      <c r="T48" s="268"/>
    </row>
    <row r="49" spans="1:20" ht="24" x14ac:dyDescent="0.25">
      <c r="A49" s="38">
        <v>2</v>
      </c>
      <c r="B49" s="38">
        <v>0</v>
      </c>
      <c r="C49" s="38">
        <v>4</v>
      </c>
      <c r="D49" s="38">
        <v>8</v>
      </c>
      <c r="E49" s="38">
        <v>6</v>
      </c>
      <c r="F49" s="38"/>
      <c r="G49" s="25">
        <v>10</v>
      </c>
      <c r="H49" s="25" t="s">
        <v>88</v>
      </c>
      <c r="I49" s="332" t="s">
        <v>386</v>
      </c>
      <c r="J49" s="658">
        <v>122363650</v>
      </c>
      <c r="K49" s="658">
        <v>119445871</v>
      </c>
      <c r="L49" s="658">
        <v>113763193</v>
      </c>
      <c r="M49" s="635">
        <v>115000000</v>
      </c>
      <c r="N49" s="45"/>
      <c r="O49" s="192"/>
      <c r="P49" s="45">
        <f>SUM(M49+N49-O49)</f>
        <v>115000000</v>
      </c>
      <c r="Q49" s="268"/>
      <c r="R49" s="268"/>
      <c r="S49" s="268"/>
      <c r="T49" s="268"/>
    </row>
    <row r="50" spans="1:20" ht="20.25" x14ac:dyDescent="0.25">
      <c r="A50" s="32"/>
      <c r="B50" s="32"/>
      <c r="C50" s="32"/>
      <c r="D50" s="32"/>
      <c r="E50" s="32"/>
      <c r="F50" s="32"/>
      <c r="G50" s="33"/>
      <c r="H50" s="33"/>
      <c r="I50" s="35" t="s">
        <v>387</v>
      </c>
      <c r="J50" s="279"/>
      <c r="K50" s="279"/>
      <c r="L50" s="279"/>
      <c r="M50" s="280">
        <f>SUM(M46:M49)</f>
        <v>271000000</v>
      </c>
      <c r="N50" s="280">
        <f>SUM(N46:N49)</f>
        <v>0</v>
      </c>
      <c r="O50" s="280">
        <f>SUM(O46:O49)</f>
        <v>0</v>
      </c>
      <c r="P50" s="280">
        <f>SUM(P46:P49)</f>
        <v>271000000</v>
      </c>
      <c r="Q50" s="49"/>
      <c r="R50" s="49"/>
      <c r="S50" s="49"/>
      <c r="T50" s="49"/>
    </row>
    <row r="51" spans="1:20" ht="20.25" x14ac:dyDescent="0.25">
      <c r="A51" s="793" t="s">
        <v>388</v>
      </c>
      <c r="B51" s="793"/>
      <c r="C51" s="793"/>
      <c r="D51" s="793"/>
      <c r="E51" s="793"/>
      <c r="F51" s="793"/>
      <c r="G51" s="793"/>
      <c r="H51" s="793"/>
      <c r="I51" s="793"/>
      <c r="J51" s="25"/>
      <c r="K51" s="25"/>
      <c r="L51" s="25"/>
      <c r="M51" s="50"/>
      <c r="N51" s="50"/>
      <c r="O51" s="50"/>
      <c r="P51" s="50"/>
      <c r="Q51" s="50"/>
      <c r="R51" s="50"/>
      <c r="S51" s="50"/>
      <c r="T51" s="50"/>
    </row>
    <row r="52" spans="1:20" ht="36" x14ac:dyDescent="0.25">
      <c r="A52" s="38">
        <v>2</v>
      </c>
      <c r="B52" s="38">
        <v>0</v>
      </c>
      <c r="C52" s="38">
        <v>4</v>
      </c>
      <c r="D52" s="38">
        <v>9</v>
      </c>
      <c r="E52" s="38">
        <v>4</v>
      </c>
      <c r="F52" s="38" t="s">
        <v>147</v>
      </c>
      <c r="G52" s="25">
        <v>10</v>
      </c>
      <c r="H52" s="25" t="s">
        <v>88</v>
      </c>
      <c r="I52" s="42" t="s">
        <v>389</v>
      </c>
      <c r="J52" s="658">
        <v>13728734</v>
      </c>
      <c r="K52" s="658">
        <v>10285849</v>
      </c>
      <c r="L52" s="658">
        <v>9005472</v>
      </c>
      <c r="M52" s="45">
        <v>100000</v>
      </c>
      <c r="N52" s="45"/>
      <c r="O52" s="45"/>
      <c r="P52" s="45">
        <f>SUM(M52+N52-O52)</f>
        <v>100000</v>
      </c>
      <c r="Q52" s="45"/>
      <c r="R52" s="45"/>
      <c r="S52" s="45"/>
      <c r="T52" s="45"/>
    </row>
    <row r="53" spans="1:20" ht="36" x14ac:dyDescent="0.25">
      <c r="A53" s="38">
        <v>2</v>
      </c>
      <c r="B53" s="38">
        <v>0</v>
      </c>
      <c r="C53" s="38">
        <v>4</v>
      </c>
      <c r="D53" s="38">
        <v>9</v>
      </c>
      <c r="E53" s="38">
        <v>7</v>
      </c>
      <c r="F53" s="38" t="s">
        <v>147</v>
      </c>
      <c r="G53" s="25">
        <v>10</v>
      </c>
      <c r="H53" s="25" t="s">
        <v>88</v>
      </c>
      <c r="I53" s="42" t="s">
        <v>390</v>
      </c>
      <c r="J53" s="658">
        <v>12101320</v>
      </c>
      <c r="K53" s="658">
        <v>767811</v>
      </c>
      <c r="L53" s="658">
        <v>8155898</v>
      </c>
      <c r="M53" s="45">
        <v>100000</v>
      </c>
      <c r="N53" s="45"/>
      <c r="O53" s="45"/>
      <c r="P53" s="45">
        <f>SUM(M53+N53-O53)</f>
        <v>100000</v>
      </c>
      <c r="Q53" s="45"/>
      <c r="R53" s="45"/>
      <c r="S53" s="45"/>
      <c r="T53" s="45"/>
    </row>
    <row r="54" spans="1:20" ht="36" x14ac:dyDescent="0.25">
      <c r="A54" s="38">
        <v>2</v>
      </c>
      <c r="B54" s="38">
        <v>0</v>
      </c>
      <c r="C54" s="38">
        <v>4</v>
      </c>
      <c r="D54" s="38">
        <v>9</v>
      </c>
      <c r="E54" s="38">
        <v>8</v>
      </c>
      <c r="F54" s="38" t="s">
        <v>147</v>
      </c>
      <c r="G54" s="25">
        <v>10</v>
      </c>
      <c r="H54" s="25" t="s">
        <v>88</v>
      </c>
      <c r="I54" s="42" t="s">
        <v>391</v>
      </c>
      <c r="J54" s="658">
        <v>44027913</v>
      </c>
      <c r="K54" s="658">
        <v>15481207</v>
      </c>
      <c r="L54" s="658">
        <v>34743449</v>
      </c>
      <c r="M54" s="635">
        <v>14000000</v>
      </c>
      <c r="N54" s="45"/>
      <c r="O54" s="45"/>
      <c r="P54" s="45">
        <f>SUM(M54+N54-O54)</f>
        <v>14000000</v>
      </c>
      <c r="Q54" s="46"/>
      <c r="R54" s="45"/>
      <c r="S54" s="45"/>
      <c r="T54" s="45"/>
    </row>
    <row r="55" spans="1:20" ht="36" x14ac:dyDescent="0.25">
      <c r="A55" s="38">
        <v>2</v>
      </c>
      <c r="B55" s="38">
        <v>0</v>
      </c>
      <c r="C55" s="38">
        <v>4</v>
      </c>
      <c r="D55" s="38">
        <v>9</v>
      </c>
      <c r="E55" s="38">
        <v>9</v>
      </c>
      <c r="F55" s="38" t="s">
        <v>147</v>
      </c>
      <c r="G55" s="25">
        <v>10</v>
      </c>
      <c r="H55" s="25" t="s">
        <v>88</v>
      </c>
      <c r="I55" s="42" t="s">
        <v>392</v>
      </c>
      <c r="J55" s="658">
        <v>10358060</v>
      </c>
      <c r="K55" s="658">
        <v>767811</v>
      </c>
      <c r="L55" s="658">
        <v>9175385</v>
      </c>
      <c r="M55" s="45">
        <v>100000</v>
      </c>
      <c r="N55" s="45"/>
      <c r="O55" s="45"/>
      <c r="P55" s="45">
        <f>SUM(M55+N55-O55)</f>
        <v>100000</v>
      </c>
      <c r="Q55" s="45"/>
      <c r="R55" s="45"/>
      <c r="S55" s="45"/>
      <c r="T55" s="45"/>
    </row>
    <row r="56" spans="1:20" ht="36" x14ac:dyDescent="0.25">
      <c r="A56" s="38">
        <v>2</v>
      </c>
      <c r="B56" s="38">
        <v>0</v>
      </c>
      <c r="C56" s="38">
        <v>4</v>
      </c>
      <c r="D56" s="38">
        <v>9</v>
      </c>
      <c r="E56" s="38">
        <v>13</v>
      </c>
      <c r="F56" s="38" t="s">
        <v>147</v>
      </c>
      <c r="G56" s="25">
        <v>10</v>
      </c>
      <c r="H56" s="25" t="s">
        <v>88</v>
      </c>
      <c r="I56" s="42" t="s">
        <v>393</v>
      </c>
      <c r="J56" s="658">
        <v>1239245</v>
      </c>
      <c r="K56" s="658">
        <v>668488</v>
      </c>
      <c r="L56" s="658">
        <v>820983</v>
      </c>
      <c r="M56" s="45">
        <v>100000</v>
      </c>
      <c r="N56" s="45"/>
      <c r="O56" s="45"/>
      <c r="P56" s="45">
        <f>SUM(M56+N56-O56)</f>
        <v>100000</v>
      </c>
      <c r="Q56" s="45"/>
      <c r="R56" s="45"/>
      <c r="S56" s="45"/>
      <c r="T56" s="45"/>
    </row>
    <row r="57" spans="1:20" ht="20.25" x14ac:dyDescent="0.25">
      <c r="A57" s="32"/>
      <c r="B57" s="32"/>
      <c r="C57" s="32"/>
      <c r="D57" s="32"/>
      <c r="E57" s="32"/>
      <c r="F57" s="32"/>
      <c r="G57" s="33"/>
      <c r="H57" s="33"/>
      <c r="I57" s="35" t="s">
        <v>394</v>
      </c>
      <c r="J57" s="279">
        <f t="shared" ref="J57:P57" si="14">SUM(J52:J56)</f>
        <v>81455272</v>
      </c>
      <c r="K57" s="279">
        <f t="shared" si="14"/>
        <v>27971166</v>
      </c>
      <c r="L57" s="279">
        <f t="shared" si="14"/>
        <v>61901187</v>
      </c>
      <c r="M57" s="280">
        <f t="shared" si="14"/>
        <v>14400000</v>
      </c>
      <c r="N57" s="280">
        <f t="shared" si="14"/>
        <v>0</v>
      </c>
      <c r="O57" s="280">
        <f t="shared" si="14"/>
        <v>0</v>
      </c>
      <c r="P57" s="280">
        <f t="shared" si="14"/>
        <v>14400000</v>
      </c>
      <c r="Q57" s="354"/>
      <c r="R57" s="354">
        <f t="shared" ref="R57:T57" si="15">SUM(R52:R56)</f>
        <v>0</v>
      </c>
      <c r="S57" s="354">
        <f t="shared" si="15"/>
        <v>0</v>
      </c>
      <c r="T57" s="354">
        <f t="shared" si="15"/>
        <v>0</v>
      </c>
    </row>
    <row r="58" spans="1:20" ht="20.25" x14ac:dyDescent="0.25">
      <c r="A58" s="794" t="s">
        <v>396</v>
      </c>
      <c r="B58" s="795"/>
      <c r="C58" s="795"/>
      <c r="D58" s="795"/>
      <c r="E58" s="795"/>
      <c r="F58" s="795"/>
      <c r="G58" s="795"/>
      <c r="H58" s="795"/>
      <c r="I58" s="796"/>
      <c r="J58" s="25"/>
      <c r="K58" s="25"/>
      <c r="L58" s="25"/>
      <c r="M58" s="50"/>
      <c r="N58" s="50"/>
      <c r="O58" s="50"/>
      <c r="P58" s="50"/>
      <c r="Q58" s="50"/>
      <c r="R58" s="50"/>
      <c r="S58" s="50"/>
      <c r="T58" s="50"/>
    </row>
    <row r="59" spans="1:20" ht="20.25" x14ac:dyDescent="0.25">
      <c r="A59" s="38"/>
      <c r="B59" s="38"/>
      <c r="C59" s="38"/>
      <c r="D59" s="38"/>
      <c r="E59" s="38"/>
      <c r="F59" s="38"/>
      <c r="G59" s="25"/>
      <c r="H59" s="25"/>
      <c r="I59" s="36" t="s">
        <v>397</v>
      </c>
      <c r="J59" s="658">
        <v>868840</v>
      </c>
      <c r="K59" s="658">
        <v>500000</v>
      </c>
      <c r="L59" s="658"/>
      <c r="M59" s="45"/>
      <c r="N59" s="45"/>
      <c r="O59" s="45"/>
      <c r="P59" s="45">
        <f>SUM(M59+N59-O59)</f>
        <v>0</v>
      </c>
      <c r="Q59" s="268"/>
      <c r="R59" s="268"/>
      <c r="S59" s="268"/>
      <c r="T59" s="268"/>
    </row>
    <row r="60" spans="1:20" ht="36" x14ac:dyDescent="0.25">
      <c r="A60" s="38">
        <v>2</v>
      </c>
      <c r="B60" s="38">
        <v>0</v>
      </c>
      <c r="C60" s="38">
        <v>4</v>
      </c>
      <c r="D60" s="38">
        <v>10</v>
      </c>
      <c r="E60" s="38">
        <v>2</v>
      </c>
      <c r="F60" s="38" t="s">
        <v>147</v>
      </c>
      <c r="G60" s="25">
        <v>10</v>
      </c>
      <c r="H60" s="25" t="s">
        <v>88</v>
      </c>
      <c r="I60" s="36" t="s">
        <v>398</v>
      </c>
      <c r="J60" s="658">
        <v>5444300</v>
      </c>
      <c r="K60" s="658">
        <v>5236662</v>
      </c>
      <c r="L60" s="658">
        <v>5612740</v>
      </c>
      <c r="M60" s="45">
        <v>6778000</v>
      </c>
      <c r="N60" s="45"/>
      <c r="O60" s="45"/>
      <c r="P60" s="45">
        <f>SUM(M60+N60-O60)</f>
        <v>6778000</v>
      </c>
      <c r="Q60" s="268"/>
      <c r="R60" s="268"/>
      <c r="S60" s="268"/>
      <c r="T60" s="268"/>
    </row>
    <row r="61" spans="1:20" ht="20.25" x14ac:dyDescent="0.25">
      <c r="A61" s="32"/>
      <c r="B61" s="32"/>
      <c r="C61" s="32"/>
      <c r="D61" s="32"/>
      <c r="E61" s="32"/>
      <c r="F61" s="32"/>
      <c r="G61" s="33"/>
      <c r="H61" s="33"/>
      <c r="I61" s="35" t="s">
        <v>399</v>
      </c>
      <c r="J61" s="279">
        <f>SUM(J59:J60)</f>
        <v>6313140</v>
      </c>
      <c r="K61" s="279">
        <f>SUM(K59:K60)</f>
        <v>5736662</v>
      </c>
      <c r="L61" s="279">
        <f>SUM(L59:L60)</f>
        <v>5612740</v>
      </c>
      <c r="M61" s="280">
        <f>SUM(M60)</f>
        <v>6778000</v>
      </c>
      <c r="N61" s="280">
        <f>SUM(N60)</f>
        <v>0</v>
      </c>
      <c r="O61" s="280">
        <f>SUM(O60)</f>
        <v>0</v>
      </c>
      <c r="P61" s="280">
        <f>SUM(P60)</f>
        <v>6778000</v>
      </c>
      <c r="Q61" s="354"/>
      <c r="R61" s="354">
        <f>SUM(R59:R60)</f>
        <v>0</v>
      </c>
      <c r="S61" s="354">
        <f>SUM(S59:S60)</f>
        <v>0</v>
      </c>
      <c r="T61" s="354">
        <f>SUM(T59:T60)</f>
        <v>0</v>
      </c>
    </row>
    <row r="62" spans="1:20" ht="20.25" x14ac:dyDescent="0.25">
      <c r="A62" s="794" t="s">
        <v>125</v>
      </c>
      <c r="B62" s="795"/>
      <c r="C62" s="795"/>
      <c r="D62" s="795"/>
      <c r="E62" s="795"/>
      <c r="F62" s="795"/>
      <c r="G62" s="795"/>
      <c r="H62" s="795"/>
      <c r="I62" s="795"/>
      <c r="J62" s="25"/>
      <c r="K62" s="25"/>
      <c r="L62" s="25"/>
      <c r="M62" s="50"/>
      <c r="N62" s="50"/>
      <c r="O62" s="50"/>
      <c r="P62" s="50"/>
      <c r="Q62" s="50"/>
      <c r="R62" s="50"/>
      <c r="S62" s="50"/>
      <c r="T62" s="50"/>
    </row>
    <row r="63" spans="1:20" ht="36" x14ac:dyDescent="0.25">
      <c r="A63" s="38">
        <v>2</v>
      </c>
      <c r="B63" s="38">
        <v>0</v>
      </c>
      <c r="C63" s="38">
        <v>4</v>
      </c>
      <c r="D63" s="38">
        <v>11</v>
      </c>
      <c r="E63" s="38">
        <v>1</v>
      </c>
      <c r="F63" s="38" t="s">
        <v>147</v>
      </c>
      <c r="G63" s="25">
        <v>10</v>
      </c>
      <c r="H63" s="25" t="s">
        <v>88</v>
      </c>
      <c r="I63" s="42" t="s">
        <v>400</v>
      </c>
      <c r="J63" s="797">
        <v>29008131.350000001</v>
      </c>
      <c r="K63" s="797">
        <v>20292720.050000001</v>
      </c>
      <c r="L63" s="324">
        <v>4233988</v>
      </c>
      <c r="M63" s="45"/>
      <c r="N63" s="45"/>
      <c r="O63" s="45"/>
      <c r="P63" s="45">
        <f>SUM(M63+N63-O63)</f>
        <v>0</v>
      </c>
      <c r="Q63" s="45"/>
      <c r="R63" s="45"/>
      <c r="S63" s="45"/>
      <c r="T63" s="45"/>
    </row>
    <row r="64" spans="1:20" ht="36" x14ac:dyDescent="0.25">
      <c r="A64" s="38">
        <v>2</v>
      </c>
      <c r="B64" s="38">
        <v>0</v>
      </c>
      <c r="C64" s="38">
        <v>4</v>
      </c>
      <c r="D64" s="38">
        <v>11</v>
      </c>
      <c r="E64" s="38">
        <v>1</v>
      </c>
      <c r="F64" s="38" t="s">
        <v>147</v>
      </c>
      <c r="G64" s="25">
        <v>10</v>
      </c>
      <c r="H64" s="25" t="s">
        <v>88</v>
      </c>
      <c r="I64" s="36" t="s">
        <v>401</v>
      </c>
      <c r="J64" s="797"/>
      <c r="K64" s="797"/>
      <c r="L64" s="324">
        <v>4799781.63</v>
      </c>
      <c r="M64" s="45">
        <v>0</v>
      </c>
      <c r="N64" s="45"/>
      <c r="O64" s="45"/>
      <c r="P64" s="45">
        <f>SUM(M64+N64-O64)</f>
        <v>0</v>
      </c>
      <c r="Q64" s="45"/>
      <c r="R64" s="45"/>
      <c r="S64" s="45"/>
      <c r="T64" s="45"/>
    </row>
    <row r="65" spans="1:20" ht="36" x14ac:dyDescent="0.25">
      <c r="A65" s="38">
        <v>2</v>
      </c>
      <c r="B65" s="38">
        <v>0</v>
      </c>
      <c r="C65" s="38">
        <v>4</v>
      </c>
      <c r="D65" s="38">
        <v>11</v>
      </c>
      <c r="E65" s="38">
        <v>2</v>
      </c>
      <c r="F65" s="38" t="s">
        <v>147</v>
      </c>
      <c r="G65" s="25">
        <v>10</v>
      </c>
      <c r="H65" s="25" t="s">
        <v>88</v>
      </c>
      <c r="I65" s="42" t="s">
        <v>402</v>
      </c>
      <c r="J65" s="797">
        <v>19651579</v>
      </c>
      <c r="K65" s="797">
        <v>37367844.5</v>
      </c>
      <c r="L65" s="658">
        <v>11937409</v>
      </c>
      <c r="M65" s="635">
        <v>35000000</v>
      </c>
      <c r="N65" s="45"/>
      <c r="O65" s="45"/>
      <c r="P65" s="45">
        <f>SUM(M65+N65-O65)</f>
        <v>35000000</v>
      </c>
      <c r="Q65" s="45"/>
      <c r="R65" s="45"/>
      <c r="S65" s="45"/>
      <c r="T65" s="45"/>
    </row>
    <row r="66" spans="1:20" ht="36" x14ac:dyDescent="0.25">
      <c r="A66" s="38">
        <v>2</v>
      </c>
      <c r="B66" s="38">
        <v>0</v>
      </c>
      <c r="C66" s="38">
        <v>4</v>
      </c>
      <c r="D66" s="38">
        <v>11</v>
      </c>
      <c r="E66" s="38">
        <v>2</v>
      </c>
      <c r="F66" s="38" t="s">
        <v>147</v>
      </c>
      <c r="G66" s="25">
        <v>10</v>
      </c>
      <c r="H66" s="25" t="s">
        <v>88</v>
      </c>
      <c r="I66" s="36" t="s">
        <v>115</v>
      </c>
      <c r="J66" s="797"/>
      <c r="K66" s="797"/>
      <c r="L66" s="658">
        <v>12823734</v>
      </c>
      <c r="M66" s="636">
        <v>20000000</v>
      </c>
      <c r="N66" s="45"/>
      <c r="O66" s="45"/>
      <c r="P66" s="45">
        <f>SUM(M66+N66-O66)</f>
        <v>20000000</v>
      </c>
      <c r="Q66" s="363">
        <v>4000000</v>
      </c>
      <c r="R66" s="364">
        <v>16000000</v>
      </c>
      <c r="S66" s="365"/>
      <c r="T66" s="363">
        <f>SUM(R66-S66)</f>
        <v>16000000</v>
      </c>
    </row>
    <row r="67" spans="1:20" ht="20.25" x14ac:dyDescent="0.25">
      <c r="A67" s="32"/>
      <c r="B67" s="32"/>
      <c r="C67" s="32"/>
      <c r="D67" s="32"/>
      <c r="E67" s="32"/>
      <c r="F67" s="32"/>
      <c r="G67" s="33"/>
      <c r="H67" s="33"/>
      <c r="I67" s="35" t="s">
        <v>137</v>
      </c>
      <c r="J67" s="279">
        <f t="shared" ref="J67:T67" si="16">SUM(J63:J66)</f>
        <v>48659710.350000001</v>
      </c>
      <c r="K67" s="279">
        <f t="shared" si="16"/>
        <v>57660564.549999997</v>
      </c>
      <c r="L67" s="279">
        <f t="shared" si="16"/>
        <v>33794912.629999995</v>
      </c>
      <c r="M67" s="280">
        <f t="shared" si="16"/>
        <v>55000000</v>
      </c>
      <c r="N67" s="280">
        <f t="shared" si="16"/>
        <v>0</v>
      </c>
      <c r="O67" s="280">
        <f t="shared" si="16"/>
        <v>0</v>
      </c>
      <c r="P67" s="280">
        <f t="shared" si="16"/>
        <v>55000000</v>
      </c>
      <c r="Q67" s="49">
        <f t="shared" si="16"/>
        <v>4000000</v>
      </c>
      <c r="R67" s="49">
        <f t="shared" si="16"/>
        <v>16000000</v>
      </c>
      <c r="S67" s="49">
        <f t="shared" si="16"/>
        <v>0</v>
      </c>
      <c r="T67" s="49">
        <f t="shared" si="16"/>
        <v>16000000</v>
      </c>
    </row>
    <row r="69" spans="1:20" ht="29.45" customHeight="1" x14ac:dyDescent="0.25">
      <c r="I69" s="661" t="s">
        <v>626</v>
      </c>
      <c r="J69" s="661"/>
      <c r="K69" s="661"/>
      <c r="L69" s="661"/>
      <c r="M69" s="661"/>
      <c r="N69" s="661"/>
      <c r="O69" s="661"/>
      <c r="P69" s="661"/>
      <c r="Q69" s="662">
        <f>SUM(Q9+Q12+Q23+Q32+Q38+Q44+Q50+Q67)</f>
        <v>12000000</v>
      </c>
      <c r="R69" s="662">
        <f>SUM(R9+R12+R23+R32+R38+R44+R50+R67)</f>
        <v>53300000</v>
      </c>
      <c r="S69" s="662">
        <f>SUM(S9+S12+S23+S32+S38+S44+S50+S67)</f>
        <v>0</v>
      </c>
      <c r="T69" s="662">
        <f>SUM(T9+T12+T23+T32+T38+T44+T50+T67)</f>
        <v>53300000</v>
      </c>
    </row>
  </sheetData>
  <mergeCells count="16">
    <mergeCell ref="A62:I62"/>
    <mergeCell ref="J63:J64"/>
    <mergeCell ref="K63:K64"/>
    <mergeCell ref="J65:J66"/>
    <mergeCell ref="K65:K66"/>
    <mergeCell ref="A33:I33"/>
    <mergeCell ref="A39:I39"/>
    <mergeCell ref="A45:I45"/>
    <mergeCell ref="A51:I51"/>
    <mergeCell ref="A58:I58"/>
    <mergeCell ref="L2:L3"/>
    <mergeCell ref="A4:I4"/>
    <mergeCell ref="A13:I13"/>
    <mergeCell ref="A24:I24"/>
    <mergeCell ref="J2:J3"/>
    <mergeCell ref="K2:K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91"/>
  <sheetViews>
    <sheetView workbookViewId="0">
      <selection activeCell="A4" sqref="A4:D4"/>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85546875" customWidth="1"/>
    <col min="10" max="10" width="35.42578125" customWidth="1"/>
  </cols>
  <sheetData>
    <row r="3" spans="1:10" ht="15.75" customHeight="1" x14ac:dyDescent="0.25">
      <c r="A3" s="798" t="s">
        <v>595</v>
      </c>
      <c r="B3" s="799"/>
      <c r="C3" s="799"/>
      <c r="D3" s="799"/>
      <c r="E3" s="799"/>
      <c r="F3" s="799"/>
      <c r="G3" s="799"/>
      <c r="H3" s="799"/>
      <c r="I3" s="799"/>
      <c r="J3" s="800"/>
    </row>
    <row r="4" spans="1:10" ht="45" x14ac:dyDescent="0.25">
      <c r="A4" s="591" t="s">
        <v>111</v>
      </c>
      <c r="B4" s="591" t="s">
        <v>110</v>
      </c>
      <c r="C4" s="591" t="s">
        <v>109</v>
      </c>
      <c r="D4" s="591" t="s">
        <v>108</v>
      </c>
      <c r="E4" s="591" t="s">
        <v>107</v>
      </c>
      <c r="F4" s="591" t="s">
        <v>106</v>
      </c>
      <c r="G4" s="591" t="s">
        <v>105</v>
      </c>
      <c r="H4" s="591" t="s">
        <v>104</v>
      </c>
      <c r="I4" s="59" t="s">
        <v>103</v>
      </c>
      <c r="J4" s="59" t="s">
        <v>332</v>
      </c>
    </row>
    <row r="5" spans="1:10" ht="20.25" x14ac:dyDescent="0.25">
      <c r="A5" s="38">
        <v>1</v>
      </c>
      <c r="B5" s="38">
        <v>0</v>
      </c>
      <c r="C5" s="38">
        <v>2</v>
      </c>
      <c r="D5" s="38">
        <v>12</v>
      </c>
      <c r="E5" s="38"/>
      <c r="F5" s="38"/>
      <c r="G5" s="38">
        <v>10</v>
      </c>
      <c r="H5" s="161"/>
      <c r="I5" s="162" t="s">
        <v>354</v>
      </c>
      <c r="J5" s="45">
        <v>122923893</v>
      </c>
    </row>
    <row r="6" spans="1:10" ht="30" x14ac:dyDescent="0.25">
      <c r="A6" s="38">
        <v>1</v>
      </c>
      <c r="B6" s="38">
        <v>0</v>
      </c>
      <c r="C6" s="38">
        <v>2</v>
      </c>
      <c r="D6" s="38">
        <v>100</v>
      </c>
      <c r="E6" s="38"/>
      <c r="F6" s="38"/>
      <c r="G6" s="38"/>
      <c r="H6" s="38"/>
      <c r="I6" s="36" t="s">
        <v>356</v>
      </c>
      <c r="J6" s="45">
        <v>1500000</v>
      </c>
    </row>
    <row r="7" spans="1:10" ht="30" x14ac:dyDescent="0.25">
      <c r="A7" s="187"/>
      <c r="B7" s="187"/>
      <c r="C7" s="187"/>
      <c r="D7" s="187"/>
      <c r="E7" s="187"/>
      <c r="F7" s="187"/>
      <c r="G7" s="187"/>
      <c r="H7" s="187"/>
      <c r="I7" s="188" t="s">
        <v>357</v>
      </c>
      <c r="J7" s="190">
        <f>SUM(J5:J6)</f>
        <v>124423893</v>
      </c>
    </row>
    <row r="8" spans="1:10" ht="20.25" x14ac:dyDescent="0.25">
      <c r="A8" s="204"/>
      <c r="B8" s="204"/>
      <c r="C8" s="204"/>
      <c r="D8" s="204"/>
      <c r="E8" s="204"/>
      <c r="F8" s="204"/>
      <c r="G8" s="204"/>
      <c r="H8" s="204"/>
      <c r="I8" s="188" t="s">
        <v>358</v>
      </c>
      <c r="J8" s="190">
        <v>0</v>
      </c>
    </row>
    <row r="9" spans="1:10" ht="20.25" x14ac:dyDescent="0.25">
      <c r="A9" s="210">
        <v>2</v>
      </c>
      <c r="B9" s="210">
        <v>0</v>
      </c>
      <c r="C9" s="210">
        <v>3</v>
      </c>
      <c r="D9" s="211">
        <v>50</v>
      </c>
      <c r="E9" s="211">
        <v>3</v>
      </c>
      <c r="F9" s="211"/>
      <c r="G9" s="211"/>
      <c r="H9" s="211"/>
      <c r="I9" s="36" t="s">
        <v>359</v>
      </c>
      <c r="J9" s="45">
        <v>28920000</v>
      </c>
    </row>
    <row r="10" spans="1:10" ht="20.25" x14ac:dyDescent="0.25">
      <c r="A10" s="210">
        <v>2</v>
      </c>
      <c r="B10" s="210">
        <v>0</v>
      </c>
      <c r="C10" s="210">
        <v>3</v>
      </c>
      <c r="D10" s="211">
        <v>50</v>
      </c>
      <c r="E10" s="211" t="s">
        <v>101</v>
      </c>
      <c r="F10" s="211">
        <v>0</v>
      </c>
      <c r="G10" s="211">
        <v>10</v>
      </c>
      <c r="H10" s="211"/>
      <c r="I10" s="36" t="s">
        <v>360</v>
      </c>
      <c r="J10" s="45">
        <v>950000</v>
      </c>
    </row>
    <row r="11" spans="1:10" ht="20.25" x14ac:dyDescent="0.25">
      <c r="A11" s="211">
        <v>2</v>
      </c>
      <c r="B11" s="211">
        <v>0</v>
      </c>
      <c r="C11" s="211">
        <v>3</v>
      </c>
      <c r="D11" s="211">
        <v>51</v>
      </c>
      <c r="E11" s="211">
        <v>1</v>
      </c>
      <c r="F11" s="211">
        <v>0</v>
      </c>
      <c r="G11" s="211">
        <v>10</v>
      </c>
      <c r="H11" s="211"/>
      <c r="I11" s="36" t="s">
        <v>361</v>
      </c>
      <c r="J11" s="45">
        <v>0</v>
      </c>
    </row>
    <row r="12" spans="1:10" ht="20.25" x14ac:dyDescent="0.25">
      <c r="A12" s="187">
        <v>2</v>
      </c>
      <c r="B12" s="187">
        <v>0</v>
      </c>
      <c r="C12" s="187">
        <v>3</v>
      </c>
      <c r="D12" s="216"/>
      <c r="E12" s="216"/>
      <c r="F12" s="216"/>
      <c r="G12" s="216"/>
      <c r="H12" s="216"/>
      <c r="I12" s="188" t="s">
        <v>362</v>
      </c>
      <c r="J12" s="190">
        <f t="shared" ref="J12" si="0">SUM(J9:J11)</f>
        <v>29870000</v>
      </c>
    </row>
    <row r="13" spans="1:10" ht="20.25" x14ac:dyDescent="0.25">
      <c r="A13" s="210">
        <v>2</v>
      </c>
      <c r="B13" s="210">
        <v>0</v>
      </c>
      <c r="C13" s="210">
        <v>4</v>
      </c>
      <c r="D13" s="211"/>
      <c r="E13" s="211"/>
      <c r="F13" s="211"/>
      <c r="G13" s="211"/>
      <c r="H13" s="211"/>
      <c r="I13" s="224" t="s">
        <v>363</v>
      </c>
      <c r="J13" s="613"/>
    </row>
    <row r="14" spans="1:10" ht="20.25" x14ac:dyDescent="0.25">
      <c r="A14" s="234"/>
      <c r="B14" s="234"/>
      <c r="C14" s="234"/>
      <c r="D14" s="234"/>
      <c r="E14" s="234"/>
      <c r="F14" s="234"/>
      <c r="G14" s="234"/>
      <c r="H14" s="234"/>
      <c r="I14" s="235"/>
      <c r="J14" s="238"/>
    </row>
    <row r="15" spans="1:10" ht="20.25" x14ac:dyDescent="0.25">
      <c r="A15" s="248"/>
      <c r="B15" s="248"/>
      <c r="C15" s="248"/>
      <c r="D15" s="248"/>
      <c r="E15" s="248"/>
      <c r="F15" s="248"/>
      <c r="G15" s="248"/>
      <c r="H15" s="248"/>
      <c r="I15" s="249"/>
      <c r="J15" s="252"/>
    </row>
    <row r="16" spans="1:10" ht="20.25" x14ac:dyDescent="0.25">
      <c r="A16" s="793" t="s">
        <v>114</v>
      </c>
      <c r="B16" s="793"/>
      <c r="C16" s="793"/>
      <c r="D16" s="793"/>
      <c r="E16" s="793"/>
      <c r="F16" s="793"/>
      <c r="G16" s="793"/>
      <c r="H16" s="793"/>
      <c r="I16" s="793"/>
      <c r="J16" s="45"/>
    </row>
    <row r="17" spans="1:10" ht="36" x14ac:dyDescent="0.25">
      <c r="A17" s="267">
        <v>2</v>
      </c>
      <c r="B17" s="267">
        <v>0</v>
      </c>
      <c r="C17" s="267">
        <v>4</v>
      </c>
      <c r="D17" s="267">
        <v>1</v>
      </c>
      <c r="E17" s="267">
        <v>6</v>
      </c>
      <c r="F17" s="38" t="s">
        <v>147</v>
      </c>
      <c r="G17" s="25">
        <v>10</v>
      </c>
      <c r="H17" s="25" t="s">
        <v>88</v>
      </c>
      <c r="I17" s="36" t="s">
        <v>364</v>
      </c>
      <c r="J17" s="45"/>
    </row>
    <row r="18" spans="1:10" ht="36" x14ac:dyDescent="0.25">
      <c r="A18" s="38">
        <v>2</v>
      </c>
      <c r="B18" s="38">
        <v>0</v>
      </c>
      <c r="C18" s="38">
        <v>4</v>
      </c>
      <c r="D18" s="38">
        <v>1</v>
      </c>
      <c r="E18" s="38">
        <v>8</v>
      </c>
      <c r="F18" s="38" t="s">
        <v>147</v>
      </c>
      <c r="G18" s="25">
        <v>10</v>
      </c>
      <c r="H18" s="25" t="s">
        <v>88</v>
      </c>
      <c r="I18" s="42" t="s">
        <v>365</v>
      </c>
      <c r="J18" s="47">
        <v>20100403</v>
      </c>
    </row>
    <row r="19" spans="1:10" ht="36" x14ac:dyDescent="0.25">
      <c r="A19" s="38">
        <v>2</v>
      </c>
      <c r="B19" s="38">
        <v>0</v>
      </c>
      <c r="C19" s="38">
        <v>4</v>
      </c>
      <c r="D19" s="38">
        <v>1</v>
      </c>
      <c r="E19" s="38">
        <v>25</v>
      </c>
      <c r="F19" s="38" t="s">
        <v>147</v>
      </c>
      <c r="G19" s="25">
        <v>10</v>
      </c>
      <c r="H19" s="25" t="s">
        <v>88</v>
      </c>
      <c r="I19" s="36" t="s">
        <v>186</v>
      </c>
      <c r="J19" s="47">
        <v>45000000</v>
      </c>
    </row>
    <row r="20" spans="1:10" ht="36" x14ac:dyDescent="0.25">
      <c r="A20" s="38">
        <v>2</v>
      </c>
      <c r="B20" s="38">
        <v>0</v>
      </c>
      <c r="C20" s="38">
        <v>4</v>
      </c>
      <c r="D20" s="38">
        <v>1</v>
      </c>
      <c r="E20" s="38">
        <v>26</v>
      </c>
      <c r="F20" s="38" t="s">
        <v>147</v>
      </c>
      <c r="G20" s="25">
        <v>10</v>
      </c>
      <c r="H20" s="25" t="s">
        <v>88</v>
      </c>
      <c r="I20" s="36" t="s">
        <v>154</v>
      </c>
      <c r="J20" s="45"/>
    </row>
    <row r="21" spans="1:10" ht="20.25" x14ac:dyDescent="0.25">
      <c r="A21" s="32"/>
      <c r="B21" s="32"/>
      <c r="C21" s="32"/>
      <c r="D21" s="32"/>
      <c r="E21" s="32"/>
      <c r="F21" s="32"/>
      <c r="G21" s="33"/>
      <c r="H21" s="33"/>
      <c r="I21" s="35" t="s">
        <v>135</v>
      </c>
      <c r="J21" s="280">
        <f t="shared" ref="J21" si="1">SUM(J17:J20)</f>
        <v>65100403</v>
      </c>
    </row>
    <row r="22" spans="1:10" ht="36" x14ac:dyDescent="0.25">
      <c r="A22" s="38">
        <v>2</v>
      </c>
      <c r="B22" s="38">
        <v>0</v>
      </c>
      <c r="C22" s="38">
        <v>4</v>
      </c>
      <c r="D22" s="38">
        <v>2</v>
      </c>
      <c r="E22" s="38">
        <v>2</v>
      </c>
      <c r="F22" s="38" t="s">
        <v>147</v>
      </c>
      <c r="G22" s="25">
        <v>10</v>
      </c>
      <c r="H22" s="25" t="s">
        <v>88</v>
      </c>
      <c r="I22" s="36" t="s">
        <v>366</v>
      </c>
      <c r="J22" s="45"/>
    </row>
    <row r="23" spans="1:10" ht="36" x14ac:dyDescent="0.25">
      <c r="A23" s="38">
        <v>2</v>
      </c>
      <c r="B23" s="38">
        <v>0</v>
      </c>
      <c r="C23" s="38">
        <v>4</v>
      </c>
      <c r="D23" s="38">
        <v>2</v>
      </c>
      <c r="E23" s="38">
        <v>2</v>
      </c>
      <c r="F23" s="38" t="s">
        <v>147</v>
      </c>
      <c r="G23" s="25">
        <v>10</v>
      </c>
      <c r="H23" s="25" t="s">
        <v>88</v>
      </c>
      <c r="I23" s="36" t="s">
        <v>367</v>
      </c>
      <c r="J23" s="45">
        <v>20000000</v>
      </c>
    </row>
    <row r="24" spans="1:10" ht="20.25" x14ac:dyDescent="0.25">
      <c r="A24" s="32"/>
      <c r="B24" s="32"/>
      <c r="C24" s="32"/>
      <c r="D24" s="32"/>
      <c r="E24" s="32"/>
      <c r="F24" s="32"/>
      <c r="G24" s="33"/>
      <c r="H24" s="33"/>
      <c r="I24" s="35" t="s">
        <v>368</v>
      </c>
      <c r="J24" s="280">
        <f t="shared" ref="J24" si="2">SUM(J22:J23)</f>
        <v>20000000</v>
      </c>
    </row>
    <row r="25" spans="1:10" ht="20.25" x14ac:dyDescent="0.25">
      <c r="A25" s="793" t="s">
        <v>127</v>
      </c>
      <c r="B25" s="793"/>
      <c r="C25" s="793"/>
      <c r="D25" s="793"/>
      <c r="E25" s="793"/>
      <c r="F25" s="793"/>
      <c r="G25" s="793"/>
      <c r="H25" s="793"/>
      <c r="I25" s="793"/>
      <c r="J25" s="50"/>
    </row>
    <row r="26" spans="1:10" ht="36" x14ac:dyDescent="0.25">
      <c r="A26" s="38">
        <v>2</v>
      </c>
      <c r="B26" s="38">
        <v>0</v>
      </c>
      <c r="C26" s="38">
        <v>4</v>
      </c>
      <c r="D26" s="38">
        <v>4</v>
      </c>
      <c r="E26" s="38">
        <v>1</v>
      </c>
      <c r="F26" s="38" t="s">
        <v>147</v>
      </c>
      <c r="G26" s="25">
        <v>10</v>
      </c>
      <c r="H26" s="25" t="s">
        <v>88</v>
      </c>
      <c r="I26" s="42" t="s">
        <v>369</v>
      </c>
      <c r="J26" s="47">
        <v>43000000</v>
      </c>
    </row>
    <row r="27" spans="1:10" ht="36" x14ac:dyDescent="0.25">
      <c r="A27" s="38">
        <v>2</v>
      </c>
      <c r="B27" s="38">
        <v>0</v>
      </c>
      <c r="C27" s="38">
        <v>4</v>
      </c>
      <c r="D27" s="38">
        <v>4</v>
      </c>
      <c r="E27" s="38">
        <v>2</v>
      </c>
      <c r="F27" s="38" t="s">
        <v>147</v>
      </c>
      <c r="G27" s="25">
        <v>10</v>
      </c>
      <c r="H27" s="25" t="s">
        <v>88</v>
      </c>
      <c r="I27" s="42" t="s">
        <v>370</v>
      </c>
      <c r="J27" s="47">
        <v>24000000</v>
      </c>
    </row>
    <row r="28" spans="1:10" ht="36" x14ac:dyDescent="0.25">
      <c r="A28" s="38">
        <v>2</v>
      </c>
      <c r="B28" s="38">
        <v>0</v>
      </c>
      <c r="C28" s="38">
        <v>4</v>
      </c>
      <c r="D28" s="38">
        <v>4</v>
      </c>
      <c r="E28" s="38">
        <v>6</v>
      </c>
      <c r="F28" s="38" t="s">
        <v>147</v>
      </c>
      <c r="G28" s="25">
        <v>10</v>
      </c>
      <c r="H28" s="25" t="s">
        <v>88</v>
      </c>
      <c r="I28" s="42" t="s">
        <v>371</v>
      </c>
      <c r="J28" s="47">
        <v>8000000</v>
      </c>
    </row>
    <row r="29" spans="1:10" ht="36" x14ac:dyDescent="0.25">
      <c r="A29" s="38">
        <v>2</v>
      </c>
      <c r="B29" s="38">
        <v>0</v>
      </c>
      <c r="C29" s="38">
        <v>4</v>
      </c>
      <c r="D29" s="38">
        <v>4</v>
      </c>
      <c r="E29" s="38">
        <v>15</v>
      </c>
      <c r="F29" s="38" t="s">
        <v>147</v>
      </c>
      <c r="G29" s="25">
        <v>10</v>
      </c>
      <c r="H29" s="25" t="s">
        <v>88</v>
      </c>
      <c r="I29" s="42" t="s">
        <v>155</v>
      </c>
      <c r="J29" s="47">
        <v>182000000</v>
      </c>
    </row>
    <row r="30" spans="1:10" ht="36" x14ac:dyDescent="0.25">
      <c r="A30" s="38">
        <v>2</v>
      </c>
      <c r="B30" s="38">
        <v>0</v>
      </c>
      <c r="C30" s="38">
        <v>4</v>
      </c>
      <c r="D30" s="38">
        <v>4</v>
      </c>
      <c r="E30" s="38">
        <v>17</v>
      </c>
      <c r="F30" s="38" t="s">
        <v>147</v>
      </c>
      <c r="G30" s="25">
        <v>10</v>
      </c>
      <c r="H30" s="25" t="s">
        <v>88</v>
      </c>
      <c r="I30" s="42" t="s">
        <v>128</v>
      </c>
      <c r="J30" s="45">
        <v>400000</v>
      </c>
    </row>
    <row r="31" spans="1:10" ht="36" x14ac:dyDescent="0.25">
      <c r="A31" s="38">
        <v>2</v>
      </c>
      <c r="B31" s="38">
        <v>0</v>
      </c>
      <c r="C31" s="38">
        <v>4</v>
      </c>
      <c r="D31" s="38">
        <v>4</v>
      </c>
      <c r="E31" s="38">
        <v>18</v>
      </c>
      <c r="F31" s="38" t="s">
        <v>147</v>
      </c>
      <c r="G31" s="25">
        <v>10</v>
      </c>
      <c r="H31" s="25" t="s">
        <v>88</v>
      </c>
      <c r="I31" s="42" t="s">
        <v>129</v>
      </c>
      <c r="J31" s="45">
        <v>18800000</v>
      </c>
    </row>
    <row r="32" spans="1:10" ht="36" x14ac:dyDescent="0.25">
      <c r="A32" s="38">
        <v>2</v>
      </c>
      <c r="B32" s="38">
        <v>0</v>
      </c>
      <c r="C32" s="38">
        <v>4</v>
      </c>
      <c r="D32" s="38">
        <v>4</v>
      </c>
      <c r="E32" s="38">
        <v>20</v>
      </c>
      <c r="F32" s="38" t="s">
        <v>147</v>
      </c>
      <c r="G32" s="25">
        <v>10</v>
      </c>
      <c r="H32" s="25" t="s">
        <v>88</v>
      </c>
      <c r="I32" s="42" t="s">
        <v>176</v>
      </c>
      <c r="J32" s="45">
        <v>30000000</v>
      </c>
    </row>
    <row r="33" spans="1:10" ht="36" x14ac:dyDescent="0.25">
      <c r="A33" s="38">
        <v>2</v>
      </c>
      <c r="B33" s="38">
        <v>0</v>
      </c>
      <c r="C33" s="38">
        <v>4</v>
      </c>
      <c r="D33" s="38">
        <v>4</v>
      </c>
      <c r="E33" s="38">
        <v>21</v>
      </c>
      <c r="F33" s="38" t="s">
        <v>147</v>
      </c>
      <c r="G33" s="25">
        <v>10</v>
      </c>
      <c r="H33" s="25" t="s">
        <v>88</v>
      </c>
      <c r="I33" s="36" t="s">
        <v>151</v>
      </c>
      <c r="J33" s="45"/>
    </row>
    <row r="34" spans="1:10" ht="36" x14ac:dyDescent="0.25">
      <c r="A34" s="38">
        <v>2</v>
      </c>
      <c r="B34" s="38">
        <v>0</v>
      </c>
      <c r="C34" s="38">
        <v>4</v>
      </c>
      <c r="D34" s="38">
        <v>4</v>
      </c>
      <c r="E34" s="38">
        <v>23</v>
      </c>
      <c r="F34" s="38" t="s">
        <v>147</v>
      </c>
      <c r="G34" s="25">
        <v>10</v>
      </c>
      <c r="H34" s="25" t="s">
        <v>88</v>
      </c>
      <c r="I34" s="36" t="s">
        <v>130</v>
      </c>
      <c r="J34" s="45">
        <v>5000000</v>
      </c>
    </row>
    <row r="35" spans="1:10" ht="20.25" x14ac:dyDescent="0.25">
      <c r="A35" s="32"/>
      <c r="B35" s="32"/>
      <c r="C35" s="32"/>
      <c r="D35" s="32"/>
      <c r="E35" s="32"/>
      <c r="F35" s="32"/>
      <c r="G35" s="33"/>
      <c r="H35" s="33"/>
      <c r="I35" s="35" t="s">
        <v>131</v>
      </c>
      <c r="J35" s="280">
        <f t="shared" ref="J35" si="3">SUM(J26:J34)</f>
        <v>311200000</v>
      </c>
    </row>
    <row r="36" spans="1:10" ht="20.25" x14ac:dyDescent="0.25">
      <c r="A36" s="793" t="s">
        <v>132</v>
      </c>
      <c r="B36" s="793"/>
      <c r="C36" s="793"/>
      <c r="D36" s="793"/>
      <c r="E36" s="793"/>
      <c r="F36" s="793"/>
      <c r="G36" s="793"/>
      <c r="H36" s="793"/>
      <c r="I36" s="793"/>
      <c r="J36" s="50"/>
    </row>
    <row r="37" spans="1:10" ht="36" x14ac:dyDescent="0.25">
      <c r="A37" s="38">
        <v>2</v>
      </c>
      <c r="B37" s="38">
        <v>0</v>
      </c>
      <c r="C37" s="38">
        <v>4</v>
      </c>
      <c r="D37" s="38">
        <v>5</v>
      </c>
      <c r="E37" s="38">
        <v>1</v>
      </c>
      <c r="F37" s="38" t="s">
        <v>147</v>
      </c>
      <c r="G37" s="25">
        <v>10</v>
      </c>
      <c r="H37" s="25" t="s">
        <v>88</v>
      </c>
      <c r="I37" s="42" t="s">
        <v>375</v>
      </c>
      <c r="J37" s="45">
        <v>110520000</v>
      </c>
    </row>
    <row r="38" spans="1:10" ht="36" x14ac:dyDescent="0.25">
      <c r="A38" s="38">
        <v>2</v>
      </c>
      <c r="B38" s="38">
        <v>0</v>
      </c>
      <c r="C38" s="38">
        <v>4</v>
      </c>
      <c r="D38" s="38">
        <v>5</v>
      </c>
      <c r="E38" s="38">
        <v>2</v>
      </c>
      <c r="F38" s="38" t="s">
        <v>147</v>
      </c>
      <c r="G38" s="25">
        <v>10</v>
      </c>
      <c r="H38" s="25" t="s">
        <v>88</v>
      </c>
      <c r="I38" s="42" t="s">
        <v>185</v>
      </c>
      <c r="J38" s="45">
        <v>35500000</v>
      </c>
    </row>
    <row r="39" spans="1:10" ht="36" x14ac:dyDescent="0.25">
      <c r="A39" s="38">
        <v>2</v>
      </c>
      <c r="B39" s="38">
        <v>0</v>
      </c>
      <c r="C39" s="38">
        <v>4</v>
      </c>
      <c r="D39" s="38">
        <v>5</v>
      </c>
      <c r="E39" s="38">
        <v>5</v>
      </c>
      <c r="F39" s="38" t="s">
        <v>147</v>
      </c>
      <c r="G39" s="25">
        <v>10</v>
      </c>
      <c r="H39" s="25" t="s">
        <v>88</v>
      </c>
      <c r="I39" s="42" t="s">
        <v>184</v>
      </c>
      <c r="J39" s="45">
        <v>131200000</v>
      </c>
    </row>
    <row r="40" spans="1:10" ht="36" x14ac:dyDescent="0.25">
      <c r="A40" s="38">
        <v>2</v>
      </c>
      <c r="B40" s="38">
        <v>0</v>
      </c>
      <c r="C40" s="38">
        <v>4</v>
      </c>
      <c r="D40" s="38">
        <v>5</v>
      </c>
      <c r="E40" s="38">
        <v>6</v>
      </c>
      <c r="F40" s="38" t="s">
        <v>147</v>
      </c>
      <c r="G40" s="25">
        <v>10</v>
      </c>
      <c r="H40" s="25" t="s">
        <v>88</v>
      </c>
      <c r="I40" s="42" t="s">
        <v>116</v>
      </c>
      <c r="J40" s="45">
        <v>29000000</v>
      </c>
    </row>
    <row r="41" spans="1:10" ht="36" x14ac:dyDescent="0.25">
      <c r="A41" s="38">
        <v>2</v>
      </c>
      <c r="B41" s="38">
        <v>0</v>
      </c>
      <c r="C41" s="38">
        <v>4</v>
      </c>
      <c r="D41" s="38">
        <v>5</v>
      </c>
      <c r="E41" s="38">
        <v>8</v>
      </c>
      <c r="F41" s="38" t="s">
        <v>147</v>
      </c>
      <c r="G41" s="25">
        <v>10</v>
      </c>
      <c r="H41" s="25" t="s">
        <v>88</v>
      </c>
      <c r="I41" s="42" t="s">
        <v>133</v>
      </c>
      <c r="J41" s="45">
        <v>189000000</v>
      </c>
    </row>
    <row r="42" spans="1:10" ht="36" x14ac:dyDescent="0.25">
      <c r="A42" s="38">
        <v>2</v>
      </c>
      <c r="B42" s="38">
        <v>0</v>
      </c>
      <c r="C42" s="38">
        <v>4</v>
      </c>
      <c r="D42" s="38">
        <v>5</v>
      </c>
      <c r="E42" s="38">
        <v>10</v>
      </c>
      <c r="F42" s="38" t="s">
        <v>147</v>
      </c>
      <c r="G42" s="25">
        <v>10</v>
      </c>
      <c r="H42" s="25" t="s">
        <v>88</v>
      </c>
      <c r="I42" s="42" t="s">
        <v>117</v>
      </c>
      <c r="J42" s="45">
        <v>197000000</v>
      </c>
    </row>
    <row r="43" spans="1:10" ht="36" x14ac:dyDescent="0.25">
      <c r="A43" s="38">
        <v>2</v>
      </c>
      <c r="B43" s="38">
        <v>0</v>
      </c>
      <c r="C43" s="38">
        <v>4</v>
      </c>
      <c r="D43" s="38">
        <v>5</v>
      </c>
      <c r="E43" s="38">
        <v>12</v>
      </c>
      <c r="F43" s="38" t="s">
        <v>147</v>
      </c>
      <c r="G43" s="25">
        <v>10</v>
      </c>
      <c r="H43" s="25" t="s">
        <v>88</v>
      </c>
      <c r="I43" s="42" t="s">
        <v>118</v>
      </c>
      <c r="J43" s="45">
        <v>2000000</v>
      </c>
    </row>
    <row r="44" spans="1:10" ht="20.25" x14ac:dyDescent="0.25">
      <c r="A44" s="32"/>
      <c r="B44" s="32"/>
      <c r="C44" s="32"/>
      <c r="D44" s="32"/>
      <c r="E44" s="32"/>
      <c r="F44" s="32"/>
      <c r="G44" s="33"/>
      <c r="H44" s="33"/>
      <c r="I44" s="35" t="s">
        <v>134</v>
      </c>
      <c r="J44" s="280">
        <f>SUM(J36:J43)</f>
        <v>694220000</v>
      </c>
    </row>
    <row r="45" spans="1:10" ht="20.25" x14ac:dyDescent="0.25">
      <c r="A45" s="793" t="s">
        <v>124</v>
      </c>
      <c r="B45" s="793"/>
      <c r="C45" s="793"/>
      <c r="D45" s="793"/>
      <c r="E45" s="793"/>
      <c r="F45" s="793"/>
      <c r="G45" s="793"/>
      <c r="H45" s="793"/>
      <c r="I45" s="793"/>
      <c r="J45" s="50"/>
    </row>
    <row r="46" spans="1:10" ht="36" x14ac:dyDescent="0.25">
      <c r="A46" s="38">
        <v>2</v>
      </c>
      <c r="B46" s="38">
        <v>0</v>
      </c>
      <c r="C46" s="38">
        <v>4</v>
      </c>
      <c r="D46" s="38">
        <v>6</v>
      </c>
      <c r="E46" s="38">
        <v>2</v>
      </c>
      <c r="F46" s="38" t="s">
        <v>147</v>
      </c>
      <c r="G46" s="25">
        <v>10</v>
      </c>
      <c r="H46" s="25" t="s">
        <v>88</v>
      </c>
      <c r="I46" s="36" t="s">
        <v>119</v>
      </c>
      <c r="J46" s="45">
        <v>113000000</v>
      </c>
    </row>
    <row r="47" spans="1:10" ht="36" x14ac:dyDescent="0.25">
      <c r="A47" s="38">
        <v>2</v>
      </c>
      <c r="B47" s="38">
        <v>0</v>
      </c>
      <c r="C47" s="38">
        <v>4</v>
      </c>
      <c r="D47" s="38">
        <v>6</v>
      </c>
      <c r="E47" s="38">
        <v>5</v>
      </c>
      <c r="F47" s="38" t="s">
        <v>147</v>
      </c>
      <c r="G47" s="25">
        <v>10</v>
      </c>
      <c r="H47" s="25" t="s">
        <v>88</v>
      </c>
      <c r="I47" s="42" t="s">
        <v>120</v>
      </c>
      <c r="J47" s="45">
        <v>980000000</v>
      </c>
    </row>
    <row r="48" spans="1:10" ht="36" x14ac:dyDescent="0.25">
      <c r="A48" s="38">
        <v>2</v>
      </c>
      <c r="B48" s="38">
        <v>0</v>
      </c>
      <c r="C48" s="38">
        <v>4</v>
      </c>
      <c r="D48" s="38">
        <v>6</v>
      </c>
      <c r="E48" s="38">
        <v>7</v>
      </c>
      <c r="F48" s="38" t="s">
        <v>147</v>
      </c>
      <c r="G48" s="25">
        <v>10</v>
      </c>
      <c r="H48" s="25" t="s">
        <v>88</v>
      </c>
      <c r="I48" s="42" t="s">
        <v>121</v>
      </c>
      <c r="J48" s="45">
        <v>5100000</v>
      </c>
    </row>
    <row r="49" spans="1:10" ht="36" x14ac:dyDescent="0.25">
      <c r="A49" s="38">
        <v>2</v>
      </c>
      <c r="B49" s="38">
        <v>0</v>
      </c>
      <c r="C49" s="38">
        <v>4</v>
      </c>
      <c r="D49" s="38">
        <v>6</v>
      </c>
      <c r="E49" s="38">
        <v>8</v>
      </c>
      <c r="F49" s="38" t="s">
        <v>147</v>
      </c>
      <c r="G49" s="25">
        <v>10</v>
      </c>
      <c r="H49" s="25" t="s">
        <v>88</v>
      </c>
      <c r="I49" s="42" t="s">
        <v>377</v>
      </c>
      <c r="J49" s="45">
        <v>5400000</v>
      </c>
    </row>
    <row r="50" spans="1:10" ht="28.5" x14ac:dyDescent="0.25">
      <c r="A50" s="32"/>
      <c r="B50" s="32"/>
      <c r="C50" s="32"/>
      <c r="D50" s="32"/>
      <c r="E50" s="32"/>
      <c r="F50" s="32"/>
      <c r="G50" s="33"/>
      <c r="H50" s="33"/>
      <c r="I50" s="35" t="s">
        <v>136</v>
      </c>
      <c r="J50" s="280">
        <f>SUM(J45:J49)</f>
        <v>1103500000</v>
      </c>
    </row>
    <row r="51" spans="1:10" ht="20.25" x14ac:dyDescent="0.25">
      <c r="A51" s="793" t="s">
        <v>122</v>
      </c>
      <c r="B51" s="793"/>
      <c r="C51" s="793"/>
      <c r="D51" s="793"/>
      <c r="E51" s="793"/>
      <c r="F51" s="793"/>
      <c r="G51" s="793"/>
      <c r="H51" s="793"/>
      <c r="I51" s="793" t="s">
        <v>122</v>
      </c>
      <c r="J51" s="50"/>
    </row>
    <row r="52" spans="1:10" ht="36" x14ac:dyDescent="0.25">
      <c r="A52" s="38">
        <v>2</v>
      </c>
      <c r="B52" s="38">
        <v>0</v>
      </c>
      <c r="C52" s="38">
        <v>4</v>
      </c>
      <c r="D52" s="38">
        <v>7</v>
      </c>
      <c r="E52" s="38">
        <v>1</v>
      </c>
      <c r="F52" s="38" t="s">
        <v>147</v>
      </c>
      <c r="G52" s="25">
        <v>9</v>
      </c>
      <c r="H52" s="25" t="s">
        <v>88</v>
      </c>
      <c r="I52" s="36" t="s">
        <v>150</v>
      </c>
      <c r="J52" s="45"/>
    </row>
    <row r="53" spans="1:10" ht="45" x14ac:dyDescent="0.25">
      <c r="A53" s="38">
        <v>2</v>
      </c>
      <c r="B53" s="38">
        <v>0</v>
      </c>
      <c r="C53" s="38">
        <v>4</v>
      </c>
      <c r="D53" s="38">
        <v>7</v>
      </c>
      <c r="E53" s="38">
        <v>3</v>
      </c>
      <c r="F53" s="38" t="s">
        <v>90</v>
      </c>
      <c r="G53" s="25">
        <v>10</v>
      </c>
      <c r="H53" s="25" t="s">
        <v>88</v>
      </c>
      <c r="I53" s="36" t="s">
        <v>149</v>
      </c>
      <c r="J53" s="45"/>
    </row>
    <row r="54" spans="1:10" ht="36" x14ac:dyDescent="0.25">
      <c r="A54" s="38">
        <v>2</v>
      </c>
      <c r="B54" s="38">
        <v>0</v>
      </c>
      <c r="C54" s="38">
        <v>4</v>
      </c>
      <c r="D54" s="38">
        <v>7</v>
      </c>
      <c r="E54" s="38">
        <v>5</v>
      </c>
      <c r="F54" s="38" t="s">
        <v>147</v>
      </c>
      <c r="G54" s="25">
        <v>10</v>
      </c>
      <c r="H54" s="25" t="s">
        <v>88</v>
      </c>
      <c r="I54" s="42" t="s">
        <v>123</v>
      </c>
      <c r="J54" s="45">
        <v>6000000</v>
      </c>
    </row>
    <row r="55" spans="1:10" ht="36" x14ac:dyDescent="0.25">
      <c r="A55" s="38">
        <v>2</v>
      </c>
      <c r="B55" s="38">
        <v>0</v>
      </c>
      <c r="C55" s="38">
        <v>4</v>
      </c>
      <c r="D55" s="38">
        <v>7</v>
      </c>
      <c r="E55" s="38">
        <v>6</v>
      </c>
      <c r="F55" s="38" t="s">
        <v>147</v>
      </c>
      <c r="G55" s="25">
        <v>10</v>
      </c>
      <c r="H55" s="25" t="s">
        <v>88</v>
      </c>
      <c r="I55" s="42" t="s">
        <v>212</v>
      </c>
      <c r="J55" s="45">
        <v>5500000</v>
      </c>
    </row>
    <row r="56" spans="1:10" ht="36" x14ac:dyDescent="0.25">
      <c r="A56" s="32"/>
      <c r="B56" s="32"/>
      <c r="C56" s="32"/>
      <c r="D56" s="32"/>
      <c r="E56" s="32"/>
      <c r="F56" s="32" t="s">
        <v>147</v>
      </c>
      <c r="G56" s="33"/>
      <c r="H56" s="33"/>
      <c r="I56" s="35" t="s">
        <v>152</v>
      </c>
      <c r="J56" s="280">
        <f>SUM(J52:J55)</f>
        <v>11500000</v>
      </c>
    </row>
    <row r="57" spans="1:10" ht="20.25" x14ac:dyDescent="0.25">
      <c r="A57" s="793" t="s">
        <v>378</v>
      </c>
      <c r="B57" s="793"/>
      <c r="C57" s="793"/>
      <c r="D57" s="793"/>
      <c r="E57" s="793"/>
      <c r="F57" s="793"/>
      <c r="G57" s="793"/>
      <c r="H57" s="793"/>
      <c r="I57" s="793"/>
      <c r="J57" s="45"/>
    </row>
    <row r="58" spans="1:10" ht="36" x14ac:dyDescent="0.25">
      <c r="A58" s="38">
        <v>2</v>
      </c>
      <c r="B58" s="38">
        <v>0</v>
      </c>
      <c r="C58" s="38">
        <v>4</v>
      </c>
      <c r="D58" s="38">
        <v>8</v>
      </c>
      <c r="E58" s="38">
        <v>1</v>
      </c>
      <c r="F58" s="38" t="s">
        <v>147</v>
      </c>
      <c r="G58" s="25">
        <v>10</v>
      </c>
      <c r="H58" s="25" t="s">
        <v>88</v>
      </c>
      <c r="I58" s="332" t="s">
        <v>383</v>
      </c>
      <c r="J58" s="45">
        <v>10000000</v>
      </c>
    </row>
    <row r="59" spans="1:10" ht="36" x14ac:dyDescent="0.25">
      <c r="A59" s="38">
        <v>2</v>
      </c>
      <c r="B59" s="38">
        <v>0</v>
      </c>
      <c r="C59" s="38">
        <v>4</v>
      </c>
      <c r="D59" s="38">
        <v>8</v>
      </c>
      <c r="E59" s="38">
        <v>2</v>
      </c>
      <c r="F59" s="38" t="s">
        <v>147</v>
      </c>
      <c r="G59" s="25">
        <v>10</v>
      </c>
      <c r="H59" s="25" t="s">
        <v>88</v>
      </c>
      <c r="I59" s="332" t="s">
        <v>384</v>
      </c>
      <c r="J59" s="45">
        <v>127000000</v>
      </c>
    </row>
    <row r="60" spans="1:10" ht="36" x14ac:dyDescent="0.25">
      <c r="A60" s="38">
        <v>2</v>
      </c>
      <c r="B60" s="38">
        <v>0</v>
      </c>
      <c r="C60" s="38">
        <v>4</v>
      </c>
      <c r="D60" s="38">
        <v>8</v>
      </c>
      <c r="E60" s="38">
        <v>5</v>
      </c>
      <c r="F60" s="38" t="s">
        <v>147</v>
      </c>
      <c r="G60" s="25">
        <v>10</v>
      </c>
      <c r="H60" s="25" t="s">
        <v>88</v>
      </c>
      <c r="I60" s="332" t="s">
        <v>385</v>
      </c>
      <c r="J60" s="45">
        <v>19000000</v>
      </c>
    </row>
    <row r="61" spans="1:10" ht="24" x14ac:dyDescent="0.25">
      <c r="A61" s="38">
        <v>2</v>
      </c>
      <c r="B61" s="38">
        <v>0</v>
      </c>
      <c r="C61" s="38">
        <v>4</v>
      </c>
      <c r="D61" s="38">
        <v>8</v>
      </c>
      <c r="E61" s="38">
        <v>6</v>
      </c>
      <c r="F61" s="38"/>
      <c r="G61" s="25">
        <v>10</v>
      </c>
      <c r="H61" s="25" t="s">
        <v>88</v>
      </c>
      <c r="I61" s="332" t="s">
        <v>386</v>
      </c>
      <c r="J61" s="45">
        <v>115000000</v>
      </c>
    </row>
    <row r="62" spans="1:10" ht="20.25" x14ac:dyDescent="0.25">
      <c r="A62" s="32"/>
      <c r="B62" s="32"/>
      <c r="C62" s="32"/>
      <c r="D62" s="32"/>
      <c r="E62" s="32"/>
      <c r="F62" s="32"/>
      <c r="G62" s="33"/>
      <c r="H62" s="33"/>
      <c r="I62" s="35" t="s">
        <v>387</v>
      </c>
      <c r="J62" s="280">
        <f>SUM(J58:J61)</f>
        <v>271000000</v>
      </c>
    </row>
    <row r="63" spans="1:10" ht="20.25" x14ac:dyDescent="0.25">
      <c r="A63" s="793" t="s">
        <v>388</v>
      </c>
      <c r="B63" s="793"/>
      <c r="C63" s="793"/>
      <c r="D63" s="793"/>
      <c r="E63" s="793"/>
      <c r="F63" s="793"/>
      <c r="G63" s="793"/>
      <c r="H63" s="793"/>
      <c r="I63" s="793"/>
      <c r="J63" s="50"/>
    </row>
    <row r="64" spans="1:10" ht="36" x14ac:dyDescent="0.25">
      <c r="A64" s="38">
        <v>2</v>
      </c>
      <c r="B64" s="38">
        <v>0</v>
      </c>
      <c r="C64" s="38">
        <v>4</v>
      </c>
      <c r="D64" s="38">
        <v>9</v>
      </c>
      <c r="E64" s="38">
        <v>4</v>
      </c>
      <c r="F64" s="38" t="s">
        <v>147</v>
      </c>
      <c r="G64" s="25">
        <v>10</v>
      </c>
      <c r="H64" s="25" t="s">
        <v>88</v>
      </c>
      <c r="I64" s="42" t="s">
        <v>389</v>
      </c>
      <c r="J64" s="45">
        <v>100000</v>
      </c>
    </row>
    <row r="65" spans="1:10" ht="36" x14ac:dyDescent="0.25">
      <c r="A65" s="38">
        <v>2</v>
      </c>
      <c r="B65" s="38">
        <v>0</v>
      </c>
      <c r="C65" s="38">
        <v>4</v>
      </c>
      <c r="D65" s="38">
        <v>9</v>
      </c>
      <c r="E65" s="38">
        <v>7</v>
      </c>
      <c r="F65" s="38" t="s">
        <v>147</v>
      </c>
      <c r="G65" s="25">
        <v>10</v>
      </c>
      <c r="H65" s="25" t="s">
        <v>88</v>
      </c>
      <c r="I65" s="42" t="s">
        <v>390</v>
      </c>
      <c r="J65" s="45">
        <v>100000</v>
      </c>
    </row>
    <row r="66" spans="1:10" ht="36" x14ac:dyDescent="0.25">
      <c r="A66" s="38">
        <v>2</v>
      </c>
      <c r="B66" s="38">
        <v>0</v>
      </c>
      <c r="C66" s="38">
        <v>4</v>
      </c>
      <c r="D66" s="38">
        <v>9</v>
      </c>
      <c r="E66" s="38">
        <v>8</v>
      </c>
      <c r="F66" s="38" t="s">
        <v>147</v>
      </c>
      <c r="G66" s="25">
        <v>10</v>
      </c>
      <c r="H66" s="25" t="s">
        <v>88</v>
      </c>
      <c r="I66" s="42" t="s">
        <v>391</v>
      </c>
      <c r="J66" s="45">
        <v>14000000</v>
      </c>
    </row>
    <row r="67" spans="1:10" ht="36" x14ac:dyDescent="0.25">
      <c r="A67" s="38">
        <v>2</v>
      </c>
      <c r="B67" s="38">
        <v>0</v>
      </c>
      <c r="C67" s="38">
        <v>4</v>
      </c>
      <c r="D67" s="38">
        <v>9</v>
      </c>
      <c r="E67" s="38">
        <v>9</v>
      </c>
      <c r="F67" s="38" t="s">
        <v>147</v>
      </c>
      <c r="G67" s="25">
        <v>10</v>
      </c>
      <c r="H67" s="25" t="s">
        <v>88</v>
      </c>
      <c r="I67" s="42" t="s">
        <v>392</v>
      </c>
      <c r="J67" s="45">
        <v>100000</v>
      </c>
    </row>
    <row r="68" spans="1:10" ht="36" x14ac:dyDescent="0.25">
      <c r="A68" s="38">
        <v>2</v>
      </c>
      <c r="B68" s="38">
        <v>0</v>
      </c>
      <c r="C68" s="38">
        <v>4</v>
      </c>
      <c r="D68" s="38">
        <v>9</v>
      </c>
      <c r="E68" s="38">
        <v>13</v>
      </c>
      <c r="F68" s="38" t="s">
        <v>147</v>
      </c>
      <c r="G68" s="25">
        <v>10</v>
      </c>
      <c r="H68" s="25" t="s">
        <v>88</v>
      </c>
      <c r="I68" s="42" t="s">
        <v>393</v>
      </c>
      <c r="J68" s="45">
        <v>100000</v>
      </c>
    </row>
    <row r="69" spans="1:10" ht="20.25" x14ac:dyDescent="0.25">
      <c r="A69" s="32"/>
      <c r="B69" s="32"/>
      <c r="C69" s="32"/>
      <c r="D69" s="32"/>
      <c r="E69" s="32"/>
      <c r="F69" s="32"/>
      <c r="G69" s="33"/>
      <c r="H69" s="33"/>
      <c r="I69" s="35" t="s">
        <v>394</v>
      </c>
      <c r="J69" s="280">
        <f t="shared" ref="J69" si="4">SUM(J64:J68)</f>
        <v>14400000</v>
      </c>
    </row>
    <row r="70" spans="1:10" ht="20.25" x14ac:dyDescent="0.25">
      <c r="A70" s="794" t="s">
        <v>396</v>
      </c>
      <c r="B70" s="795"/>
      <c r="C70" s="795"/>
      <c r="D70" s="795"/>
      <c r="E70" s="795"/>
      <c r="F70" s="795"/>
      <c r="G70" s="795"/>
      <c r="H70" s="795"/>
      <c r="I70" s="796"/>
      <c r="J70" s="50"/>
    </row>
    <row r="71" spans="1:10" ht="30" x14ac:dyDescent="0.25">
      <c r="A71" s="38"/>
      <c r="B71" s="38"/>
      <c r="C71" s="38"/>
      <c r="D71" s="38"/>
      <c r="E71" s="38"/>
      <c r="F71" s="38"/>
      <c r="G71" s="25"/>
      <c r="H71" s="25"/>
      <c r="I71" s="36" t="s">
        <v>397</v>
      </c>
      <c r="J71" s="45"/>
    </row>
    <row r="72" spans="1:10" ht="36" x14ac:dyDescent="0.25">
      <c r="A72" s="38">
        <v>2</v>
      </c>
      <c r="B72" s="38">
        <v>0</v>
      </c>
      <c r="C72" s="38">
        <v>4</v>
      </c>
      <c r="D72" s="38">
        <v>10</v>
      </c>
      <c r="E72" s="38">
        <v>2</v>
      </c>
      <c r="F72" s="38" t="s">
        <v>147</v>
      </c>
      <c r="G72" s="25">
        <v>10</v>
      </c>
      <c r="H72" s="25" t="s">
        <v>88</v>
      </c>
      <c r="I72" s="36" t="s">
        <v>398</v>
      </c>
      <c r="J72" s="45">
        <v>6778000</v>
      </c>
    </row>
    <row r="73" spans="1:10" ht="20.25" x14ac:dyDescent="0.25">
      <c r="A73" s="32"/>
      <c r="B73" s="32"/>
      <c r="C73" s="32"/>
      <c r="D73" s="32"/>
      <c r="E73" s="32"/>
      <c r="F73" s="32"/>
      <c r="G73" s="33"/>
      <c r="H73" s="33"/>
      <c r="I73" s="35" t="s">
        <v>399</v>
      </c>
      <c r="J73" s="280">
        <f>SUM(J72)</f>
        <v>6778000</v>
      </c>
    </row>
    <row r="74" spans="1:10" ht="20.25" x14ac:dyDescent="0.25">
      <c r="A74" s="794" t="s">
        <v>125</v>
      </c>
      <c r="B74" s="795"/>
      <c r="C74" s="795"/>
      <c r="D74" s="795"/>
      <c r="E74" s="795"/>
      <c r="F74" s="795"/>
      <c r="G74" s="795"/>
      <c r="H74" s="795"/>
      <c r="I74" s="795"/>
      <c r="J74" s="50"/>
    </row>
    <row r="75" spans="1:10" ht="36" x14ac:dyDescent="0.25">
      <c r="A75" s="38">
        <v>2</v>
      </c>
      <c r="B75" s="38">
        <v>0</v>
      </c>
      <c r="C75" s="38">
        <v>4</v>
      </c>
      <c r="D75" s="38">
        <v>11</v>
      </c>
      <c r="E75" s="38">
        <v>1</v>
      </c>
      <c r="F75" s="38" t="s">
        <v>147</v>
      </c>
      <c r="G75" s="25">
        <v>10</v>
      </c>
      <c r="H75" s="25" t="s">
        <v>88</v>
      </c>
      <c r="I75" s="42" t="s">
        <v>400</v>
      </c>
      <c r="J75" s="45"/>
    </row>
    <row r="76" spans="1:10" ht="36" x14ac:dyDescent="0.25">
      <c r="A76" s="38">
        <v>2</v>
      </c>
      <c r="B76" s="38">
        <v>0</v>
      </c>
      <c r="C76" s="38">
        <v>4</v>
      </c>
      <c r="D76" s="38">
        <v>11</v>
      </c>
      <c r="E76" s="38">
        <v>1</v>
      </c>
      <c r="F76" s="38" t="s">
        <v>147</v>
      </c>
      <c r="G76" s="25">
        <v>10</v>
      </c>
      <c r="H76" s="25" t="s">
        <v>88</v>
      </c>
      <c r="I76" s="36" t="s">
        <v>401</v>
      </c>
      <c r="J76" s="45">
        <v>0</v>
      </c>
    </row>
    <row r="77" spans="1:10" ht="36" x14ac:dyDescent="0.25">
      <c r="A77" s="38">
        <v>2</v>
      </c>
      <c r="B77" s="38">
        <v>0</v>
      </c>
      <c r="C77" s="38">
        <v>4</v>
      </c>
      <c r="D77" s="38">
        <v>11</v>
      </c>
      <c r="E77" s="38">
        <v>2</v>
      </c>
      <c r="F77" s="38" t="s">
        <v>147</v>
      </c>
      <c r="G77" s="25">
        <v>10</v>
      </c>
      <c r="H77" s="25" t="s">
        <v>88</v>
      </c>
      <c r="I77" s="42" t="s">
        <v>402</v>
      </c>
      <c r="J77" s="45">
        <v>35000000</v>
      </c>
    </row>
    <row r="78" spans="1:10" ht="36" x14ac:dyDescent="0.25">
      <c r="A78" s="38">
        <v>2</v>
      </c>
      <c r="B78" s="38">
        <v>0</v>
      </c>
      <c r="C78" s="38">
        <v>4</v>
      </c>
      <c r="D78" s="38">
        <v>11</v>
      </c>
      <c r="E78" s="38">
        <v>2</v>
      </c>
      <c r="F78" s="38" t="s">
        <v>147</v>
      </c>
      <c r="G78" s="25">
        <v>10</v>
      </c>
      <c r="H78" s="25" t="s">
        <v>88</v>
      </c>
      <c r="I78" s="36" t="s">
        <v>115</v>
      </c>
      <c r="J78" s="46">
        <v>20000000</v>
      </c>
    </row>
    <row r="79" spans="1:10" ht="20.25" x14ac:dyDescent="0.25">
      <c r="A79" s="32"/>
      <c r="B79" s="32"/>
      <c r="C79" s="32"/>
      <c r="D79" s="32"/>
      <c r="E79" s="32"/>
      <c r="F79" s="32"/>
      <c r="G79" s="33"/>
      <c r="H79" s="33"/>
      <c r="I79" s="35" t="s">
        <v>137</v>
      </c>
      <c r="J79" s="280">
        <f t="shared" ref="J79" si="5">SUM(J75:J78)</f>
        <v>55000000</v>
      </c>
    </row>
    <row r="80" spans="1:10" ht="20.25" x14ac:dyDescent="0.25">
      <c r="A80" s="794" t="s">
        <v>403</v>
      </c>
      <c r="B80" s="795"/>
      <c r="C80" s="795"/>
      <c r="D80" s="795"/>
      <c r="E80" s="795"/>
      <c r="F80" s="795"/>
      <c r="G80" s="795"/>
      <c r="H80" s="795"/>
      <c r="I80" s="795"/>
      <c r="J80" s="50"/>
    </row>
    <row r="81" spans="1:10" ht="36" x14ac:dyDescent="0.25">
      <c r="A81" s="38">
        <v>2</v>
      </c>
      <c r="B81" s="38">
        <v>0</v>
      </c>
      <c r="C81" s="38">
        <v>4</v>
      </c>
      <c r="D81" s="38">
        <v>21</v>
      </c>
      <c r="E81" s="38">
        <v>4</v>
      </c>
      <c r="F81" s="38" t="s">
        <v>147</v>
      </c>
      <c r="G81" s="25">
        <v>10</v>
      </c>
      <c r="H81" s="25" t="s">
        <v>88</v>
      </c>
      <c r="I81" s="42" t="s">
        <v>404</v>
      </c>
      <c r="J81" s="45">
        <v>30075000</v>
      </c>
    </row>
    <row r="82" spans="1:10" ht="36" x14ac:dyDescent="0.25">
      <c r="A82" s="38">
        <v>2</v>
      </c>
      <c r="B82" s="38">
        <v>0</v>
      </c>
      <c r="C82" s="38">
        <v>4</v>
      </c>
      <c r="D82" s="38">
        <v>21</v>
      </c>
      <c r="E82" s="38">
        <v>5</v>
      </c>
      <c r="F82" s="38" t="s">
        <v>147</v>
      </c>
      <c r="G82" s="25">
        <v>10</v>
      </c>
      <c r="H82" s="25" t="s">
        <v>88</v>
      </c>
      <c r="I82" s="42" t="s">
        <v>153</v>
      </c>
      <c r="J82" s="45"/>
    </row>
    <row r="83" spans="1:10" ht="36" x14ac:dyDescent="0.25">
      <c r="A83" s="38">
        <v>2</v>
      </c>
      <c r="B83" s="38">
        <v>0</v>
      </c>
      <c r="C83" s="38">
        <v>4</v>
      </c>
      <c r="D83" s="38">
        <v>21</v>
      </c>
      <c r="E83" s="38">
        <v>8</v>
      </c>
      <c r="F83" s="38" t="s">
        <v>147</v>
      </c>
      <c r="G83" s="25">
        <v>10</v>
      </c>
      <c r="H83" s="25" t="s">
        <v>88</v>
      </c>
      <c r="I83" s="42" t="s">
        <v>126</v>
      </c>
      <c r="J83" s="45">
        <v>17000000</v>
      </c>
    </row>
    <row r="84" spans="1:10" ht="28.5" x14ac:dyDescent="0.25">
      <c r="A84" s="32"/>
      <c r="B84" s="32"/>
      <c r="C84" s="32"/>
      <c r="D84" s="32"/>
      <c r="E84" s="32"/>
      <c r="F84" s="32"/>
      <c r="G84" s="33"/>
      <c r="H84" s="33"/>
      <c r="I84" s="35" t="s">
        <v>405</v>
      </c>
      <c r="J84" s="280">
        <f t="shared" ref="J84" si="6">SUM(J81:J83)</f>
        <v>47075000</v>
      </c>
    </row>
    <row r="85" spans="1:10" ht="20.25" x14ac:dyDescent="0.25">
      <c r="A85" s="794" t="s">
        <v>406</v>
      </c>
      <c r="B85" s="795"/>
      <c r="C85" s="795"/>
      <c r="D85" s="795"/>
      <c r="E85" s="795"/>
      <c r="F85" s="795"/>
      <c r="G85" s="795"/>
      <c r="H85" s="795"/>
      <c r="I85" s="796"/>
      <c r="J85" s="45"/>
    </row>
    <row r="86" spans="1:10" ht="30" x14ac:dyDescent="0.25">
      <c r="A86" s="26">
        <v>2</v>
      </c>
      <c r="B86" s="26">
        <v>0</v>
      </c>
      <c r="C86" s="26">
        <v>4</v>
      </c>
      <c r="D86" s="26">
        <v>41</v>
      </c>
      <c r="E86" s="26">
        <v>13</v>
      </c>
      <c r="F86" s="26"/>
      <c r="G86" s="26">
        <v>10</v>
      </c>
      <c r="H86" s="26" t="s">
        <v>88</v>
      </c>
      <c r="I86" s="36" t="s">
        <v>406</v>
      </c>
      <c r="J86" s="45">
        <v>1400000</v>
      </c>
    </row>
    <row r="87" spans="1:10" ht="28.5" x14ac:dyDescent="0.25">
      <c r="A87" s="32"/>
      <c r="B87" s="32"/>
      <c r="C87" s="32"/>
      <c r="D87" s="32"/>
      <c r="E87" s="32"/>
      <c r="F87" s="32"/>
      <c r="G87" s="33"/>
      <c r="H87" s="33"/>
      <c r="I87" s="35" t="s">
        <v>407</v>
      </c>
      <c r="J87" s="371">
        <f>SUM(J86)</f>
        <v>1400000</v>
      </c>
    </row>
    <row r="88" spans="1:10" x14ac:dyDescent="0.25">
      <c r="A88" s="26"/>
      <c r="B88" s="26"/>
      <c r="C88" s="26"/>
      <c r="D88" s="26"/>
      <c r="E88" s="26"/>
      <c r="F88" s="26"/>
      <c r="G88" s="26"/>
      <c r="H88" s="26"/>
      <c r="I88" s="36" t="s">
        <v>408</v>
      </c>
      <c r="J88" s="377">
        <f>SUM(J21+J24+J35+J44+J50+J56+J62+J69+J73+J79+J84+J85+J87)</f>
        <v>2601173403</v>
      </c>
    </row>
    <row r="89" spans="1:10" ht="30" x14ac:dyDescent="0.25">
      <c r="A89" s="26"/>
      <c r="B89" s="26"/>
      <c r="C89" s="26"/>
      <c r="D89" s="26"/>
      <c r="E89" s="26"/>
      <c r="F89" s="26"/>
      <c r="G89" s="26"/>
      <c r="H89" s="26"/>
      <c r="I89" s="36" t="s">
        <v>409</v>
      </c>
      <c r="J89" s="377">
        <f>SUM(J7)</f>
        <v>124423893</v>
      </c>
    </row>
    <row r="90" spans="1:10" x14ac:dyDescent="0.25">
      <c r="A90" s="26"/>
      <c r="B90" s="26"/>
      <c r="C90" s="26"/>
      <c r="D90" s="26"/>
      <c r="E90" s="26"/>
      <c r="F90" s="26"/>
      <c r="G90" s="26"/>
      <c r="H90" s="26"/>
      <c r="I90" s="36" t="s">
        <v>410</v>
      </c>
      <c r="J90" s="377">
        <f t="shared" ref="J90" si="7">SUM(J12)</f>
        <v>29870000</v>
      </c>
    </row>
    <row r="91" spans="1:10" x14ac:dyDescent="0.25">
      <c r="A91" s="26"/>
      <c r="B91" s="26"/>
      <c r="C91" s="26"/>
      <c r="D91" s="26"/>
      <c r="E91" s="26"/>
      <c r="F91" s="26"/>
      <c r="G91" s="26"/>
      <c r="H91" s="26"/>
      <c r="I91" s="36" t="s">
        <v>411</v>
      </c>
      <c r="J91" s="377">
        <f>SUM(J88:J90)</f>
        <v>2755467296</v>
      </c>
    </row>
  </sheetData>
  <mergeCells count="12">
    <mergeCell ref="A16:I16"/>
    <mergeCell ref="A25:I25"/>
    <mergeCell ref="A36:I36"/>
    <mergeCell ref="A3:J3"/>
    <mergeCell ref="A80:I80"/>
    <mergeCell ref="A85:I85"/>
    <mergeCell ref="A45:I45"/>
    <mergeCell ref="A51:I51"/>
    <mergeCell ref="A57:I57"/>
    <mergeCell ref="A63:I63"/>
    <mergeCell ref="A70:I70"/>
    <mergeCell ref="A74:I7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41"/>
  <sheetViews>
    <sheetView showGridLines="0" zoomScale="66" zoomScaleNormal="66" zoomScaleSheetLayoutView="53" zoomScalePageLayoutView="50" workbookViewId="0">
      <pane xSplit="10" ySplit="5" topLeftCell="K6" activePane="bottomRight" state="frozen"/>
      <selection pane="topRight" activeCell="K1" sqref="K1"/>
      <selection pane="bottomLeft" activeCell="A6" sqref="A6"/>
      <selection pane="bottomRight" activeCell="N7" sqref="N7:O7"/>
    </sheetView>
  </sheetViews>
  <sheetFormatPr baseColWidth="10" defaultColWidth="11.42578125" defaultRowHeight="15" x14ac:dyDescent="0.25"/>
  <cols>
    <col min="1" max="2" width="3.85546875" style="10" customWidth="1"/>
    <col min="3" max="3" width="5.42578125" style="10" customWidth="1"/>
    <col min="4" max="9" width="3.85546875" style="10" customWidth="1"/>
    <col min="10" max="10" width="39.42578125" style="10" customWidth="1"/>
    <col min="11" max="13" width="28" style="10" customWidth="1"/>
    <col min="14" max="14" width="26.85546875" style="10" customWidth="1"/>
    <col min="15" max="15" width="29.28515625" style="10" customWidth="1"/>
    <col min="16" max="16" width="23" style="10" customWidth="1"/>
    <col min="17" max="17" width="26.85546875" style="10" customWidth="1"/>
    <col min="18" max="16384" width="11.42578125" style="10"/>
  </cols>
  <sheetData>
    <row r="1" spans="1:17" ht="18" customHeight="1" x14ac:dyDescent="0.25">
      <c r="A1" s="801" t="s">
        <v>113</v>
      </c>
      <c r="B1" s="801"/>
      <c r="C1" s="801"/>
      <c r="D1" s="801"/>
      <c r="E1" s="801"/>
      <c r="F1" s="801"/>
      <c r="G1" s="801"/>
      <c r="H1" s="801"/>
      <c r="I1" s="801"/>
      <c r="J1" s="801"/>
      <c r="K1" s="801"/>
      <c r="L1" s="801"/>
      <c r="M1" s="801"/>
      <c r="N1" s="801"/>
      <c r="O1" s="801"/>
      <c r="P1" s="801"/>
      <c r="Q1" s="801"/>
    </row>
    <row r="2" spans="1:17" ht="25.5" customHeight="1" x14ac:dyDescent="0.35">
      <c r="A2" s="802" t="s">
        <v>220</v>
      </c>
      <c r="B2" s="802"/>
      <c r="C2" s="802"/>
      <c r="D2" s="802"/>
      <c r="E2" s="802"/>
      <c r="F2" s="802"/>
      <c r="G2" s="802"/>
      <c r="H2" s="802"/>
      <c r="I2" s="802"/>
      <c r="J2" s="802"/>
      <c r="K2" s="802"/>
      <c r="L2" s="802"/>
      <c r="M2" s="802"/>
      <c r="N2" s="802"/>
      <c r="O2" s="802"/>
      <c r="P2" s="802"/>
      <c r="Q2" s="802"/>
    </row>
    <row r="3" spans="1:17" ht="36.75" customHeight="1" x14ac:dyDescent="0.45">
      <c r="A3" s="22"/>
      <c r="B3" s="803"/>
      <c r="C3" s="803"/>
      <c r="D3" s="803"/>
      <c r="E3" s="803"/>
      <c r="F3" s="803"/>
      <c r="G3" s="803"/>
      <c r="H3" s="803"/>
      <c r="I3" s="803"/>
      <c r="J3" s="60"/>
      <c r="K3" s="71">
        <f t="shared" ref="K3:Q3" si="0">SUM(K9+K17+K26+K32+K38+K41)</f>
        <v>48627718.049999997</v>
      </c>
      <c r="L3" s="71">
        <f t="shared" si="0"/>
        <v>52760000</v>
      </c>
      <c r="M3" s="71">
        <f t="shared" si="0"/>
        <v>4132281.9499999993</v>
      </c>
      <c r="N3" s="71">
        <f t="shared" si="0"/>
        <v>12000000</v>
      </c>
      <c r="O3" s="71">
        <f t="shared" si="0"/>
        <v>52760000</v>
      </c>
      <c r="P3" s="71">
        <f t="shared" si="0"/>
        <v>0</v>
      </c>
      <c r="Q3" s="71">
        <f t="shared" si="0"/>
        <v>52760000</v>
      </c>
    </row>
    <row r="4" spans="1:17" ht="51.75" customHeight="1" x14ac:dyDescent="0.25">
      <c r="A4" s="23" t="s">
        <v>87</v>
      </c>
      <c r="B4" s="57" t="s">
        <v>87</v>
      </c>
      <c r="C4" s="57" t="s">
        <v>87</v>
      </c>
      <c r="D4" s="57" t="s">
        <v>87</v>
      </c>
      <c r="E4" s="57" t="s">
        <v>87</v>
      </c>
      <c r="F4" s="57" t="s">
        <v>87</v>
      </c>
      <c r="G4" s="57" t="s">
        <v>87</v>
      </c>
      <c r="H4" s="57" t="s">
        <v>87</v>
      </c>
      <c r="I4" s="57" t="s">
        <v>87</v>
      </c>
      <c r="J4" s="58" t="s">
        <v>87</v>
      </c>
      <c r="K4" s="805" t="s">
        <v>221</v>
      </c>
      <c r="L4" s="804" t="s">
        <v>222</v>
      </c>
      <c r="M4" s="806" t="s">
        <v>223</v>
      </c>
      <c r="N4" s="807" t="s">
        <v>222</v>
      </c>
      <c r="O4" s="808"/>
      <c r="P4" s="808"/>
      <c r="Q4" s="808"/>
    </row>
    <row r="5" spans="1:17" ht="72.75" customHeight="1" x14ac:dyDescent="0.25">
      <c r="A5" s="24" t="s">
        <v>112</v>
      </c>
      <c r="B5" s="61" t="s">
        <v>111</v>
      </c>
      <c r="C5" s="61" t="s">
        <v>110</v>
      </c>
      <c r="D5" s="61" t="s">
        <v>109</v>
      </c>
      <c r="E5" s="61" t="s">
        <v>108</v>
      </c>
      <c r="F5" s="61" t="s">
        <v>107</v>
      </c>
      <c r="G5" s="61" t="s">
        <v>106</v>
      </c>
      <c r="H5" s="61" t="s">
        <v>105</v>
      </c>
      <c r="I5" s="61" t="s">
        <v>104</v>
      </c>
      <c r="J5" s="59" t="s">
        <v>103</v>
      </c>
      <c r="K5" s="805"/>
      <c r="L5" s="804"/>
      <c r="M5" s="806"/>
      <c r="N5" s="69" t="s">
        <v>174</v>
      </c>
      <c r="O5" s="37" t="s">
        <v>187</v>
      </c>
      <c r="P5" s="37" t="s">
        <v>188</v>
      </c>
      <c r="Q5" s="37" t="s">
        <v>172</v>
      </c>
    </row>
    <row r="6" spans="1:17" s="29" customFormat="1" ht="40.5" customHeight="1" x14ac:dyDescent="0.2">
      <c r="A6" s="27"/>
      <c r="B6" s="793" t="s">
        <v>114</v>
      </c>
      <c r="C6" s="793"/>
      <c r="D6" s="793"/>
      <c r="E6" s="793"/>
      <c r="F6" s="793"/>
      <c r="G6" s="793"/>
      <c r="H6" s="793"/>
      <c r="I6" s="793"/>
      <c r="J6" s="793"/>
      <c r="K6" s="62"/>
      <c r="L6" s="62"/>
      <c r="M6" s="62"/>
      <c r="N6" s="46"/>
      <c r="O6" s="46"/>
      <c r="P6" s="46"/>
      <c r="Q6" s="46"/>
    </row>
    <row r="7" spans="1:17" s="29" customFormat="1" ht="109.5" customHeight="1" x14ac:dyDescent="0.2">
      <c r="A7" s="27" t="s">
        <v>100</v>
      </c>
      <c r="B7" s="38" t="s">
        <v>101</v>
      </c>
      <c r="C7" s="38" t="s">
        <v>102</v>
      </c>
      <c r="D7" s="38" t="s">
        <v>96</v>
      </c>
      <c r="E7" s="38" t="s">
        <v>91</v>
      </c>
      <c r="F7" s="38" t="s">
        <v>140</v>
      </c>
      <c r="G7" s="38" t="s">
        <v>147</v>
      </c>
      <c r="H7" s="25">
        <v>10</v>
      </c>
      <c r="I7" s="25" t="s">
        <v>88</v>
      </c>
      <c r="J7" s="56" t="s">
        <v>186</v>
      </c>
      <c r="K7" s="63">
        <v>306000</v>
      </c>
      <c r="L7" s="63">
        <f>SUM(O7)</f>
        <v>500000</v>
      </c>
      <c r="M7" s="63">
        <f>SUM(L7-K7)</f>
        <v>194000</v>
      </c>
      <c r="N7" s="45">
        <v>500000</v>
      </c>
      <c r="O7" s="45">
        <v>500000</v>
      </c>
      <c r="P7" s="45"/>
      <c r="Q7" s="45">
        <f>SUM(O7-P7)</f>
        <v>500000</v>
      </c>
    </row>
    <row r="8" spans="1:17" s="29" customFormat="1" ht="45" customHeight="1" x14ac:dyDescent="0.2">
      <c r="A8" s="27" t="s">
        <v>100</v>
      </c>
      <c r="B8" s="38" t="s">
        <v>101</v>
      </c>
      <c r="C8" s="38" t="s">
        <v>102</v>
      </c>
      <c r="D8" s="38" t="s">
        <v>96</v>
      </c>
      <c r="E8" s="38" t="s">
        <v>91</v>
      </c>
      <c r="F8" s="38">
        <v>26</v>
      </c>
      <c r="G8" s="38" t="s">
        <v>147</v>
      </c>
      <c r="H8" s="25">
        <v>10</v>
      </c>
      <c r="I8" s="25" t="s">
        <v>88</v>
      </c>
      <c r="J8" s="36" t="s">
        <v>154</v>
      </c>
      <c r="K8" s="63">
        <v>50000</v>
      </c>
      <c r="L8" s="63">
        <f>SUM(O8)</f>
        <v>200000</v>
      </c>
      <c r="M8" s="63">
        <f>SUM(L8-K8)</f>
        <v>150000</v>
      </c>
      <c r="N8" s="45"/>
      <c r="O8" s="45">
        <v>200000</v>
      </c>
      <c r="P8" s="45"/>
      <c r="Q8" s="45">
        <f>SUM(O8-P8)</f>
        <v>200000</v>
      </c>
    </row>
    <row r="9" spans="1:17" s="34" customFormat="1" ht="23.25" x14ac:dyDescent="0.2">
      <c r="A9" s="31"/>
      <c r="B9" s="32"/>
      <c r="C9" s="32"/>
      <c r="D9" s="32"/>
      <c r="E9" s="32"/>
      <c r="F9" s="32"/>
      <c r="G9" s="32"/>
      <c r="H9" s="33"/>
      <c r="I9" s="33"/>
      <c r="J9" s="35" t="s">
        <v>135</v>
      </c>
      <c r="K9" s="39">
        <f>SUM(K7:K8)</f>
        <v>356000</v>
      </c>
      <c r="L9" s="39">
        <f>SUM(L7:L8)</f>
        <v>700000</v>
      </c>
      <c r="M9" s="39">
        <f>SUM(M7:M8)</f>
        <v>344000</v>
      </c>
      <c r="N9" s="49">
        <f>SUM(N6:N8)</f>
        <v>500000</v>
      </c>
      <c r="O9" s="49">
        <f>SUM(O6:O8)</f>
        <v>700000</v>
      </c>
      <c r="P9" s="49">
        <f>SUM(P6:P8)</f>
        <v>0</v>
      </c>
      <c r="Q9" s="49">
        <f>SUM(Q6:Q8)</f>
        <v>700000</v>
      </c>
    </row>
    <row r="10" spans="1:17" s="29" customFormat="1" ht="39.75" customHeight="1" x14ac:dyDescent="0.2">
      <c r="A10" s="27"/>
      <c r="B10" s="793" t="s">
        <v>127</v>
      </c>
      <c r="C10" s="793"/>
      <c r="D10" s="793"/>
      <c r="E10" s="793"/>
      <c r="F10" s="793"/>
      <c r="G10" s="793"/>
      <c r="H10" s="793"/>
      <c r="I10" s="793"/>
      <c r="J10" s="793"/>
      <c r="K10" s="64"/>
      <c r="L10" s="64"/>
      <c r="M10" s="64"/>
      <c r="N10" s="50"/>
      <c r="O10" s="50"/>
      <c r="P10" s="50"/>
      <c r="Q10" s="50"/>
    </row>
    <row r="11" spans="1:17" s="29" customFormat="1" ht="79.5" customHeight="1" x14ac:dyDescent="0.2">
      <c r="A11" s="27" t="s">
        <v>100</v>
      </c>
      <c r="B11" s="38" t="s">
        <v>101</v>
      </c>
      <c r="C11" s="38" t="s">
        <v>102</v>
      </c>
      <c r="D11" s="38" t="s">
        <v>96</v>
      </c>
      <c r="E11" s="38" t="s">
        <v>96</v>
      </c>
      <c r="F11" s="38" t="s">
        <v>95</v>
      </c>
      <c r="G11" s="38" t="s">
        <v>147</v>
      </c>
      <c r="H11" s="25">
        <v>10</v>
      </c>
      <c r="I11" s="25" t="s">
        <v>88</v>
      </c>
      <c r="J11" s="42" t="s">
        <v>155</v>
      </c>
      <c r="K11" s="63">
        <v>2427174</v>
      </c>
      <c r="L11" s="63">
        <f t="shared" ref="L11:L16" si="1">SUM(O11)</f>
        <v>1910000</v>
      </c>
      <c r="M11" s="70">
        <f t="shared" ref="M11:M16" si="2">SUM(L11-K11)</f>
        <v>-517174</v>
      </c>
      <c r="N11" s="45"/>
      <c r="O11" s="45">
        <v>1910000</v>
      </c>
      <c r="P11" s="48"/>
      <c r="Q11" s="45">
        <f t="shared" ref="Q11:Q16" si="3">SUM(O11-P11)</f>
        <v>1910000</v>
      </c>
    </row>
    <row r="12" spans="1:17" s="29" customFormat="1" ht="36" x14ac:dyDescent="0.2">
      <c r="A12" s="27" t="s">
        <v>100</v>
      </c>
      <c r="B12" s="38" t="s">
        <v>101</v>
      </c>
      <c r="C12" s="38" t="s">
        <v>102</v>
      </c>
      <c r="D12" s="38" t="s">
        <v>96</v>
      </c>
      <c r="E12" s="38" t="s">
        <v>96</v>
      </c>
      <c r="F12" s="38" t="s">
        <v>141</v>
      </c>
      <c r="G12" s="38" t="s">
        <v>147</v>
      </c>
      <c r="H12" s="25">
        <v>10</v>
      </c>
      <c r="I12" s="25" t="s">
        <v>88</v>
      </c>
      <c r="J12" s="42" t="s">
        <v>128</v>
      </c>
      <c r="K12" s="63">
        <v>332399</v>
      </c>
      <c r="L12" s="63">
        <f t="shared" si="1"/>
        <v>400000</v>
      </c>
      <c r="M12" s="63">
        <f t="shared" si="2"/>
        <v>67601</v>
      </c>
      <c r="N12" s="45"/>
      <c r="O12" s="45">
        <v>400000</v>
      </c>
      <c r="P12" s="45"/>
      <c r="Q12" s="45">
        <f t="shared" si="3"/>
        <v>400000</v>
      </c>
    </row>
    <row r="13" spans="1:17" s="29" customFormat="1" ht="51.75" customHeight="1" x14ac:dyDescent="0.2">
      <c r="A13" s="27" t="s">
        <v>100</v>
      </c>
      <c r="B13" s="38" t="s">
        <v>101</v>
      </c>
      <c r="C13" s="38" t="s">
        <v>102</v>
      </c>
      <c r="D13" s="38" t="s">
        <v>96</v>
      </c>
      <c r="E13" s="38" t="s">
        <v>96</v>
      </c>
      <c r="F13" s="38" t="s">
        <v>142</v>
      </c>
      <c r="G13" s="38" t="s">
        <v>147</v>
      </c>
      <c r="H13" s="25">
        <v>10</v>
      </c>
      <c r="I13" s="25" t="s">
        <v>88</v>
      </c>
      <c r="J13" s="42" t="s">
        <v>129</v>
      </c>
      <c r="K13" s="63">
        <v>17109402</v>
      </c>
      <c r="L13" s="63">
        <f t="shared" si="1"/>
        <v>14000000</v>
      </c>
      <c r="M13" s="70">
        <f t="shared" si="2"/>
        <v>-3109402</v>
      </c>
      <c r="N13" s="45"/>
      <c r="O13" s="45">
        <v>14000000</v>
      </c>
      <c r="P13" s="48"/>
      <c r="Q13" s="45">
        <f t="shared" si="3"/>
        <v>14000000</v>
      </c>
    </row>
    <row r="14" spans="1:17" s="28" customFormat="1" ht="109.5" customHeight="1" x14ac:dyDescent="0.2">
      <c r="A14" s="27" t="s">
        <v>100</v>
      </c>
      <c r="B14" s="38" t="s">
        <v>101</v>
      </c>
      <c r="C14" s="38" t="s">
        <v>102</v>
      </c>
      <c r="D14" s="38" t="s">
        <v>96</v>
      </c>
      <c r="E14" s="38" t="s">
        <v>96</v>
      </c>
      <c r="F14" s="38" t="s">
        <v>97</v>
      </c>
      <c r="G14" s="38" t="s">
        <v>147</v>
      </c>
      <c r="H14" s="25">
        <v>10</v>
      </c>
      <c r="I14" s="25" t="s">
        <v>88</v>
      </c>
      <c r="J14" s="42" t="s">
        <v>176</v>
      </c>
      <c r="K14" s="65">
        <v>2670320</v>
      </c>
      <c r="L14" s="63">
        <f t="shared" si="1"/>
        <v>2500000</v>
      </c>
      <c r="M14" s="70">
        <f t="shared" si="2"/>
        <v>-170320</v>
      </c>
      <c r="N14" s="45"/>
      <c r="O14" s="45">
        <v>2500000</v>
      </c>
      <c r="P14" s="48"/>
      <c r="Q14" s="45">
        <f t="shared" si="3"/>
        <v>2500000</v>
      </c>
    </row>
    <row r="15" spans="1:17" s="28" customFormat="1" ht="36" x14ac:dyDescent="0.2">
      <c r="A15" s="27" t="s">
        <v>100</v>
      </c>
      <c r="B15" s="38" t="s">
        <v>101</v>
      </c>
      <c r="C15" s="38" t="s">
        <v>102</v>
      </c>
      <c r="D15" s="38" t="s">
        <v>96</v>
      </c>
      <c r="E15" s="38" t="s">
        <v>96</v>
      </c>
      <c r="F15" s="38" t="s">
        <v>146</v>
      </c>
      <c r="G15" s="38" t="s">
        <v>147</v>
      </c>
      <c r="H15" s="25">
        <v>10</v>
      </c>
      <c r="I15" s="25" t="s">
        <v>88</v>
      </c>
      <c r="J15" s="36" t="s">
        <v>151</v>
      </c>
      <c r="K15" s="63">
        <v>105520</v>
      </c>
      <c r="L15" s="63">
        <f t="shared" si="1"/>
        <v>200000</v>
      </c>
      <c r="M15" s="63">
        <f t="shared" si="2"/>
        <v>94480</v>
      </c>
      <c r="N15" s="45"/>
      <c r="O15" s="45">
        <v>200000</v>
      </c>
      <c r="P15" s="45"/>
      <c r="Q15" s="45">
        <f t="shared" si="3"/>
        <v>200000</v>
      </c>
    </row>
    <row r="16" spans="1:17" s="28" customFormat="1" ht="36" x14ac:dyDescent="0.2">
      <c r="A16" s="27" t="s">
        <v>100</v>
      </c>
      <c r="B16" s="38" t="s">
        <v>101</v>
      </c>
      <c r="C16" s="38" t="s">
        <v>102</v>
      </c>
      <c r="D16" s="38" t="s">
        <v>96</v>
      </c>
      <c r="E16" s="38" t="s">
        <v>96</v>
      </c>
      <c r="F16" s="38" t="s">
        <v>143</v>
      </c>
      <c r="G16" s="38" t="s">
        <v>147</v>
      </c>
      <c r="H16" s="25">
        <v>10</v>
      </c>
      <c r="I16" s="25" t="s">
        <v>88</v>
      </c>
      <c r="J16" s="36" t="s">
        <v>130</v>
      </c>
      <c r="K16" s="63">
        <v>2813682</v>
      </c>
      <c r="L16" s="63">
        <f t="shared" si="1"/>
        <v>2500000</v>
      </c>
      <c r="M16" s="70">
        <f t="shared" si="2"/>
        <v>-313682</v>
      </c>
      <c r="N16" s="45">
        <v>4000000</v>
      </c>
      <c r="O16" s="45">
        <v>2500000</v>
      </c>
      <c r="P16" s="45"/>
      <c r="Q16" s="45">
        <f t="shared" si="3"/>
        <v>2500000</v>
      </c>
    </row>
    <row r="17" spans="1:17" s="34" customFormat="1" ht="28.5" x14ac:dyDescent="0.2">
      <c r="A17" s="31"/>
      <c r="B17" s="32"/>
      <c r="C17" s="32"/>
      <c r="D17" s="32"/>
      <c r="E17" s="32"/>
      <c r="F17" s="32"/>
      <c r="G17" s="32"/>
      <c r="H17" s="33"/>
      <c r="I17" s="33"/>
      <c r="J17" s="35" t="s">
        <v>131</v>
      </c>
      <c r="K17" s="39">
        <f t="shared" ref="K17:Q17" si="4">SUM(K11:K16)</f>
        <v>25458497</v>
      </c>
      <c r="L17" s="39">
        <f t="shared" si="4"/>
        <v>21510000</v>
      </c>
      <c r="M17" s="39">
        <f t="shared" si="4"/>
        <v>-3948497</v>
      </c>
      <c r="N17" s="49">
        <f t="shared" si="4"/>
        <v>4000000</v>
      </c>
      <c r="O17" s="49">
        <f t="shared" si="4"/>
        <v>21510000</v>
      </c>
      <c r="P17" s="49">
        <f t="shared" si="4"/>
        <v>0</v>
      </c>
      <c r="Q17" s="49">
        <f t="shared" si="4"/>
        <v>21510000</v>
      </c>
    </row>
    <row r="18" spans="1:17" s="28" customFormat="1" ht="45" customHeight="1" x14ac:dyDescent="0.2">
      <c r="A18" s="27"/>
      <c r="B18" s="793" t="s">
        <v>132</v>
      </c>
      <c r="C18" s="793"/>
      <c r="D18" s="793"/>
      <c r="E18" s="793"/>
      <c r="F18" s="793"/>
      <c r="G18" s="793"/>
      <c r="H18" s="793"/>
      <c r="I18" s="793"/>
      <c r="J18" s="793"/>
      <c r="K18" s="64"/>
      <c r="L18" s="64"/>
      <c r="M18" s="64"/>
      <c r="N18" s="50"/>
      <c r="O18" s="50"/>
      <c r="P18" s="50"/>
      <c r="Q18" s="50"/>
    </row>
    <row r="19" spans="1:17" s="28" customFormat="1" ht="90" customHeight="1" x14ac:dyDescent="0.2">
      <c r="A19" s="27" t="s">
        <v>100</v>
      </c>
      <c r="B19" s="38" t="s">
        <v>101</v>
      </c>
      <c r="C19" s="38" t="s">
        <v>102</v>
      </c>
      <c r="D19" s="38" t="s">
        <v>96</v>
      </c>
      <c r="E19" s="38" t="s">
        <v>94</v>
      </c>
      <c r="F19" s="38" t="s">
        <v>91</v>
      </c>
      <c r="G19" s="38" t="s">
        <v>147</v>
      </c>
      <c r="H19" s="25">
        <v>10</v>
      </c>
      <c r="I19" s="25" t="s">
        <v>88</v>
      </c>
      <c r="J19" s="42" t="s">
        <v>211</v>
      </c>
      <c r="K19" s="63">
        <v>2025011</v>
      </c>
      <c r="L19" s="63">
        <f>SUM(O19)</f>
        <v>2500000</v>
      </c>
      <c r="M19" s="63">
        <f t="shared" ref="M19:M25" si="5">SUM(L19-K19)</f>
        <v>474989</v>
      </c>
      <c r="N19" s="45"/>
      <c r="O19" s="45">
        <v>2500000</v>
      </c>
      <c r="P19" s="48"/>
      <c r="Q19" s="45">
        <f t="shared" ref="Q19:Q25" si="6">SUM(O19-P19)</f>
        <v>2500000</v>
      </c>
    </row>
    <row r="20" spans="1:17" s="28" customFormat="1" ht="72.75" customHeight="1" x14ac:dyDescent="0.2">
      <c r="A20" s="27" t="s">
        <v>100</v>
      </c>
      <c r="B20" s="38" t="s">
        <v>101</v>
      </c>
      <c r="C20" s="38" t="s">
        <v>102</v>
      </c>
      <c r="D20" s="38" t="s">
        <v>96</v>
      </c>
      <c r="E20" s="38" t="s">
        <v>94</v>
      </c>
      <c r="F20" s="38" t="s">
        <v>101</v>
      </c>
      <c r="G20" s="38" t="s">
        <v>147</v>
      </c>
      <c r="H20" s="25">
        <v>10</v>
      </c>
      <c r="I20" s="25" t="s">
        <v>88</v>
      </c>
      <c r="J20" s="42" t="s">
        <v>185</v>
      </c>
      <c r="K20" s="65">
        <v>3413575</v>
      </c>
      <c r="L20" s="63">
        <f t="shared" ref="L20:L25" si="7">SUM(O20)</f>
        <v>3700000</v>
      </c>
      <c r="M20" s="63">
        <f t="shared" si="5"/>
        <v>286425</v>
      </c>
      <c r="N20" s="45"/>
      <c r="O20" s="67">
        <v>3700000</v>
      </c>
      <c r="P20" s="68"/>
      <c r="Q20" s="45">
        <f t="shared" si="6"/>
        <v>3700000</v>
      </c>
    </row>
    <row r="21" spans="1:17" s="28" customFormat="1" ht="79.5" customHeight="1" x14ac:dyDescent="0.2">
      <c r="A21" s="27" t="s">
        <v>100</v>
      </c>
      <c r="B21" s="38" t="s">
        <v>101</v>
      </c>
      <c r="C21" s="38" t="s">
        <v>102</v>
      </c>
      <c r="D21" s="38" t="s">
        <v>96</v>
      </c>
      <c r="E21" s="38" t="s">
        <v>94</v>
      </c>
      <c r="F21" s="38" t="s">
        <v>94</v>
      </c>
      <c r="G21" s="38" t="s">
        <v>147</v>
      </c>
      <c r="H21" s="25">
        <v>10</v>
      </c>
      <c r="I21" s="25" t="s">
        <v>88</v>
      </c>
      <c r="J21" s="42" t="s">
        <v>184</v>
      </c>
      <c r="K21" s="66">
        <v>777156</v>
      </c>
      <c r="L21" s="63">
        <f t="shared" si="7"/>
        <v>900000</v>
      </c>
      <c r="M21" s="63">
        <f t="shared" si="5"/>
        <v>122844</v>
      </c>
      <c r="N21" s="45"/>
      <c r="O21" s="45">
        <v>900000</v>
      </c>
      <c r="P21" s="45"/>
      <c r="Q21" s="45">
        <f t="shared" si="6"/>
        <v>900000</v>
      </c>
    </row>
    <row r="22" spans="1:17" s="28" customFormat="1" ht="66.75" customHeight="1" x14ac:dyDescent="0.2">
      <c r="A22" s="30" t="s">
        <v>100</v>
      </c>
      <c r="B22" s="38" t="s">
        <v>101</v>
      </c>
      <c r="C22" s="38" t="s">
        <v>102</v>
      </c>
      <c r="D22" s="38" t="s">
        <v>96</v>
      </c>
      <c r="E22" s="38" t="s">
        <v>94</v>
      </c>
      <c r="F22" s="38" t="s">
        <v>99</v>
      </c>
      <c r="G22" s="38" t="s">
        <v>147</v>
      </c>
      <c r="H22" s="25">
        <v>10</v>
      </c>
      <c r="I22" s="25" t="s">
        <v>88</v>
      </c>
      <c r="J22" s="42" t="s">
        <v>116</v>
      </c>
      <c r="K22" s="63"/>
      <c r="L22" s="63">
        <f t="shared" si="7"/>
        <v>0</v>
      </c>
      <c r="M22" s="63">
        <f t="shared" si="5"/>
        <v>0</v>
      </c>
      <c r="N22" s="45"/>
      <c r="O22" s="45"/>
      <c r="P22" s="45"/>
      <c r="Q22" s="45">
        <f t="shared" si="6"/>
        <v>0</v>
      </c>
    </row>
    <row r="23" spans="1:17" s="28" customFormat="1" ht="36" x14ac:dyDescent="0.2">
      <c r="A23" s="27" t="s">
        <v>100</v>
      </c>
      <c r="B23" s="38" t="s">
        <v>101</v>
      </c>
      <c r="C23" s="38" t="s">
        <v>102</v>
      </c>
      <c r="D23" s="38" t="s">
        <v>96</v>
      </c>
      <c r="E23" s="38" t="s">
        <v>94</v>
      </c>
      <c r="F23" s="38" t="s">
        <v>139</v>
      </c>
      <c r="G23" s="38" t="s">
        <v>147</v>
      </c>
      <c r="H23" s="25">
        <v>10</v>
      </c>
      <c r="I23" s="25" t="s">
        <v>88</v>
      </c>
      <c r="J23" s="42" t="s">
        <v>133</v>
      </c>
      <c r="K23" s="63"/>
      <c r="L23" s="63">
        <f t="shared" si="7"/>
        <v>0</v>
      </c>
      <c r="M23" s="63">
        <f t="shared" si="5"/>
        <v>0</v>
      </c>
      <c r="N23" s="45"/>
      <c r="O23" s="45"/>
      <c r="P23" s="45"/>
      <c r="Q23" s="45">
        <f t="shared" si="6"/>
        <v>0</v>
      </c>
    </row>
    <row r="24" spans="1:17" s="28" customFormat="1" ht="36" x14ac:dyDescent="0.2">
      <c r="A24" s="27" t="s">
        <v>100</v>
      </c>
      <c r="B24" s="38" t="s">
        <v>101</v>
      </c>
      <c r="C24" s="38" t="s">
        <v>102</v>
      </c>
      <c r="D24" s="38" t="s">
        <v>96</v>
      </c>
      <c r="E24" s="38" t="s">
        <v>94</v>
      </c>
      <c r="F24" s="38" t="s">
        <v>89</v>
      </c>
      <c r="G24" s="38" t="s">
        <v>147</v>
      </c>
      <c r="H24" s="25">
        <v>10</v>
      </c>
      <c r="I24" s="25" t="s">
        <v>88</v>
      </c>
      <c r="J24" s="42" t="s">
        <v>117</v>
      </c>
      <c r="K24" s="63"/>
      <c r="L24" s="63">
        <f t="shared" si="7"/>
        <v>0</v>
      </c>
      <c r="M24" s="63">
        <f t="shared" si="5"/>
        <v>0</v>
      </c>
      <c r="N24" s="45"/>
      <c r="O24" s="45"/>
      <c r="P24" s="45"/>
      <c r="Q24" s="45">
        <f t="shared" si="6"/>
        <v>0</v>
      </c>
    </row>
    <row r="25" spans="1:17" s="28" customFormat="1" ht="36" x14ac:dyDescent="0.2">
      <c r="A25" s="27" t="s">
        <v>100</v>
      </c>
      <c r="B25" s="38" t="s">
        <v>101</v>
      </c>
      <c r="C25" s="38" t="s">
        <v>102</v>
      </c>
      <c r="D25" s="38" t="s">
        <v>96</v>
      </c>
      <c r="E25" s="38" t="s">
        <v>94</v>
      </c>
      <c r="F25" s="38" t="s">
        <v>144</v>
      </c>
      <c r="G25" s="38" t="s">
        <v>147</v>
      </c>
      <c r="H25" s="25">
        <v>10</v>
      </c>
      <c r="I25" s="25" t="s">
        <v>88</v>
      </c>
      <c r="J25" s="42" t="s">
        <v>118</v>
      </c>
      <c r="K25" s="63">
        <v>351380</v>
      </c>
      <c r="L25" s="63">
        <f t="shared" si="7"/>
        <v>450000</v>
      </c>
      <c r="M25" s="63">
        <f t="shared" si="5"/>
        <v>98620</v>
      </c>
      <c r="N25" s="45">
        <v>1500000</v>
      </c>
      <c r="O25" s="45">
        <v>450000</v>
      </c>
      <c r="P25" s="45"/>
      <c r="Q25" s="45">
        <f t="shared" si="6"/>
        <v>450000</v>
      </c>
    </row>
    <row r="26" spans="1:17" s="34" customFormat="1" ht="48" customHeight="1" x14ac:dyDescent="0.2">
      <c r="A26" s="31"/>
      <c r="B26" s="32"/>
      <c r="C26" s="32"/>
      <c r="D26" s="32"/>
      <c r="E26" s="32"/>
      <c r="F26" s="32"/>
      <c r="G26" s="32"/>
      <c r="H26" s="33"/>
      <c r="I26" s="33"/>
      <c r="J26" s="35" t="s">
        <v>134</v>
      </c>
      <c r="K26" s="39">
        <f t="shared" ref="K26:Q26" si="8">SUM(K19:K25)</f>
        <v>6567122</v>
      </c>
      <c r="L26" s="39">
        <f t="shared" si="8"/>
        <v>7550000</v>
      </c>
      <c r="M26" s="39">
        <f t="shared" si="8"/>
        <v>982878</v>
      </c>
      <c r="N26" s="49">
        <f>SUM(N19:N25)</f>
        <v>1500000</v>
      </c>
      <c r="O26" s="49">
        <f t="shared" si="8"/>
        <v>7550000</v>
      </c>
      <c r="P26" s="49">
        <f t="shared" si="8"/>
        <v>0</v>
      </c>
      <c r="Q26" s="49">
        <f t="shared" si="8"/>
        <v>7550000</v>
      </c>
    </row>
    <row r="27" spans="1:17" s="28" customFormat="1" ht="26.25" customHeight="1" x14ac:dyDescent="0.2">
      <c r="A27" s="27"/>
      <c r="B27" s="793" t="s">
        <v>124</v>
      </c>
      <c r="C27" s="793"/>
      <c r="D27" s="793"/>
      <c r="E27" s="793"/>
      <c r="F27" s="793"/>
      <c r="G27" s="793"/>
      <c r="H27" s="793"/>
      <c r="I27" s="793"/>
      <c r="J27" s="793"/>
      <c r="K27" s="64"/>
      <c r="L27" s="64"/>
      <c r="M27" s="64"/>
      <c r="N27" s="50"/>
      <c r="O27" s="50"/>
      <c r="P27" s="50"/>
      <c r="Q27" s="50"/>
    </row>
    <row r="28" spans="1:17" s="28" customFormat="1" ht="36" x14ac:dyDescent="0.2">
      <c r="A28" s="27" t="s">
        <v>100</v>
      </c>
      <c r="B28" s="38" t="s">
        <v>101</v>
      </c>
      <c r="C28" s="38" t="s">
        <v>102</v>
      </c>
      <c r="D28" s="38" t="s">
        <v>96</v>
      </c>
      <c r="E28" s="38" t="s">
        <v>99</v>
      </c>
      <c r="F28" s="38" t="s">
        <v>101</v>
      </c>
      <c r="G28" s="38" t="s">
        <v>147</v>
      </c>
      <c r="H28" s="25">
        <v>10</v>
      </c>
      <c r="I28" s="25" t="s">
        <v>88</v>
      </c>
      <c r="J28" s="36" t="s">
        <v>119</v>
      </c>
      <c r="K28" s="63">
        <v>815565</v>
      </c>
      <c r="L28" s="63">
        <f>SUM(O28)</f>
        <v>1000000</v>
      </c>
      <c r="M28" s="63">
        <f>SUM(L28-K28)</f>
        <v>184435</v>
      </c>
      <c r="N28" s="45"/>
      <c r="O28" s="45">
        <v>1000000</v>
      </c>
      <c r="P28" s="48"/>
      <c r="Q28" s="45">
        <f>SUM(O28-P28)</f>
        <v>1000000</v>
      </c>
    </row>
    <row r="29" spans="1:17" s="28" customFormat="1" ht="54" customHeight="1" x14ac:dyDescent="0.2">
      <c r="A29" s="27" t="s">
        <v>100</v>
      </c>
      <c r="B29" s="38" t="s">
        <v>101</v>
      </c>
      <c r="C29" s="38" t="s">
        <v>102</v>
      </c>
      <c r="D29" s="38" t="s">
        <v>96</v>
      </c>
      <c r="E29" s="38" t="s">
        <v>99</v>
      </c>
      <c r="F29" s="38" t="s">
        <v>94</v>
      </c>
      <c r="G29" s="38" t="s">
        <v>147</v>
      </c>
      <c r="H29" s="25">
        <v>10</v>
      </c>
      <c r="I29" s="25" t="s">
        <v>88</v>
      </c>
      <c r="J29" s="42" t="s">
        <v>120</v>
      </c>
      <c r="K29" s="63"/>
      <c r="L29" s="63">
        <f>SUM(O29)</f>
        <v>0</v>
      </c>
      <c r="M29" s="63">
        <f>SUM(L29-K29)</f>
        <v>0</v>
      </c>
      <c r="N29" s="45"/>
      <c r="O29" s="45"/>
      <c r="P29" s="45"/>
      <c r="Q29" s="45">
        <f>SUM(O29-P29)</f>
        <v>0</v>
      </c>
    </row>
    <row r="30" spans="1:17" s="28" customFormat="1" ht="36" x14ac:dyDescent="0.2">
      <c r="A30" s="27" t="s">
        <v>100</v>
      </c>
      <c r="B30" s="38" t="s">
        <v>101</v>
      </c>
      <c r="C30" s="38" t="s">
        <v>102</v>
      </c>
      <c r="D30" s="38" t="s">
        <v>96</v>
      </c>
      <c r="E30" s="38" t="s">
        <v>99</v>
      </c>
      <c r="F30" s="38" t="s">
        <v>145</v>
      </c>
      <c r="G30" s="38" t="s">
        <v>147</v>
      </c>
      <c r="H30" s="25">
        <v>10</v>
      </c>
      <c r="I30" s="25" t="s">
        <v>88</v>
      </c>
      <c r="J30" s="42" t="s">
        <v>121</v>
      </c>
      <c r="K30" s="63">
        <v>3274900</v>
      </c>
      <c r="L30" s="63">
        <f>SUM(O30)</f>
        <v>3000000</v>
      </c>
      <c r="M30" s="70">
        <f>SUM(L30-K30)</f>
        <v>-274900</v>
      </c>
      <c r="N30" s="45"/>
      <c r="O30" s="45">
        <v>3000000</v>
      </c>
      <c r="P30" s="48"/>
      <c r="Q30" s="45">
        <f>SUM(O30-P30)</f>
        <v>3000000</v>
      </c>
    </row>
    <row r="31" spans="1:17" s="28" customFormat="1" ht="100.5" customHeight="1" x14ac:dyDescent="0.2">
      <c r="A31" s="27" t="s">
        <v>100</v>
      </c>
      <c r="B31" s="38" t="s">
        <v>101</v>
      </c>
      <c r="C31" s="38" t="s">
        <v>102</v>
      </c>
      <c r="D31" s="38" t="s">
        <v>96</v>
      </c>
      <c r="E31" s="38" t="s">
        <v>99</v>
      </c>
      <c r="F31" s="38" t="s">
        <v>139</v>
      </c>
      <c r="G31" s="38" t="s">
        <v>147</v>
      </c>
      <c r="H31" s="25">
        <v>10</v>
      </c>
      <c r="I31" s="25" t="s">
        <v>88</v>
      </c>
      <c r="J31" s="42" t="s">
        <v>162</v>
      </c>
      <c r="K31" s="63"/>
      <c r="L31" s="63">
        <f>SUM(O31)</f>
        <v>0</v>
      </c>
      <c r="M31" s="63">
        <f>SUM(L31-K31)</f>
        <v>0</v>
      </c>
      <c r="N31" s="45">
        <v>1500000</v>
      </c>
      <c r="O31" s="45"/>
      <c r="P31" s="45"/>
      <c r="Q31" s="45">
        <f>SUM(O31-P31)</f>
        <v>0</v>
      </c>
    </row>
    <row r="32" spans="1:17" s="34" customFormat="1" ht="49.5" customHeight="1" x14ac:dyDescent="0.2">
      <c r="A32" s="31"/>
      <c r="B32" s="32"/>
      <c r="C32" s="32"/>
      <c r="D32" s="32"/>
      <c r="E32" s="32"/>
      <c r="F32" s="32"/>
      <c r="G32" s="32"/>
      <c r="H32" s="33"/>
      <c r="I32" s="33"/>
      <c r="J32" s="35" t="s">
        <v>136</v>
      </c>
      <c r="K32" s="39">
        <f t="shared" ref="K32:Q32" si="9">SUM(K28:K31)</f>
        <v>4090465</v>
      </c>
      <c r="L32" s="39">
        <f t="shared" si="9"/>
        <v>4000000</v>
      </c>
      <c r="M32" s="39">
        <f t="shared" si="9"/>
        <v>-90465</v>
      </c>
      <c r="N32" s="49">
        <f t="shared" si="9"/>
        <v>1500000</v>
      </c>
      <c r="O32" s="49">
        <f t="shared" si="9"/>
        <v>4000000</v>
      </c>
      <c r="P32" s="49">
        <f t="shared" si="9"/>
        <v>0</v>
      </c>
      <c r="Q32" s="49">
        <f t="shared" si="9"/>
        <v>4000000</v>
      </c>
    </row>
    <row r="33" spans="1:17" s="28" customFormat="1" ht="33" customHeight="1" x14ac:dyDescent="0.2">
      <c r="A33" s="27"/>
      <c r="B33" s="793" t="s">
        <v>122</v>
      </c>
      <c r="C33" s="793"/>
      <c r="D33" s="793"/>
      <c r="E33" s="793"/>
      <c r="F33" s="793"/>
      <c r="G33" s="793"/>
      <c r="H33" s="793"/>
      <c r="I33" s="793"/>
      <c r="J33" s="793" t="s">
        <v>122</v>
      </c>
      <c r="K33" s="64"/>
      <c r="L33" s="64"/>
      <c r="M33" s="64"/>
      <c r="N33" s="50"/>
      <c r="O33" s="50"/>
      <c r="P33" s="50"/>
      <c r="Q33" s="50"/>
    </row>
    <row r="34" spans="1:17" s="28" customFormat="1" ht="36" x14ac:dyDescent="0.2">
      <c r="A34" s="27" t="s">
        <v>100</v>
      </c>
      <c r="B34" s="38">
        <v>2</v>
      </c>
      <c r="C34" s="38">
        <v>0</v>
      </c>
      <c r="D34" s="38">
        <v>4</v>
      </c>
      <c r="E34" s="38">
        <v>7</v>
      </c>
      <c r="F34" s="38">
        <v>1</v>
      </c>
      <c r="G34" s="38" t="s">
        <v>147</v>
      </c>
      <c r="H34" s="25">
        <v>9</v>
      </c>
      <c r="I34" s="25" t="s">
        <v>88</v>
      </c>
      <c r="J34" s="36" t="s">
        <v>150</v>
      </c>
      <c r="K34" s="63"/>
      <c r="L34" s="63">
        <f>SUM(O34)</f>
        <v>0</v>
      </c>
      <c r="M34" s="63">
        <f>SUM(L34-K34)</f>
        <v>0</v>
      </c>
      <c r="N34" s="45"/>
      <c r="O34" s="45">
        <v>0</v>
      </c>
      <c r="P34" s="45">
        <v>0</v>
      </c>
      <c r="Q34" s="45">
        <f>SUM(O34-P34)</f>
        <v>0</v>
      </c>
    </row>
    <row r="35" spans="1:17" s="28" customFormat="1" ht="65.25" customHeight="1" x14ac:dyDescent="0.2">
      <c r="A35" s="27" t="s">
        <v>100</v>
      </c>
      <c r="B35" s="38" t="s">
        <v>101</v>
      </c>
      <c r="C35" s="38" t="s">
        <v>102</v>
      </c>
      <c r="D35" s="38" t="s">
        <v>96</v>
      </c>
      <c r="E35" s="38" t="s">
        <v>145</v>
      </c>
      <c r="F35" s="38" t="s">
        <v>98</v>
      </c>
      <c r="G35" s="38" t="s">
        <v>90</v>
      </c>
      <c r="H35" s="25" t="s">
        <v>89</v>
      </c>
      <c r="I35" s="25" t="s">
        <v>88</v>
      </c>
      <c r="J35" s="36" t="s">
        <v>149</v>
      </c>
      <c r="K35" s="63"/>
      <c r="L35" s="63">
        <f>SUM(O35)</f>
        <v>0</v>
      </c>
      <c r="M35" s="63">
        <f>SUM(L35-K35)</f>
        <v>0</v>
      </c>
      <c r="N35" s="45"/>
      <c r="O35" s="45"/>
      <c r="P35" s="45">
        <v>0</v>
      </c>
      <c r="Q35" s="45">
        <f>SUM(O35-P35)</f>
        <v>0</v>
      </c>
    </row>
    <row r="36" spans="1:17" s="28" customFormat="1" ht="52.5" customHeight="1" x14ac:dyDescent="0.2">
      <c r="A36" s="27" t="s">
        <v>100</v>
      </c>
      <c r="B36" s="38" t="s">
        <v>101</v>
      </c>
      <c r="C36" s="38" t="s">
        <v>102</v>
      </c>
      <c r="D36" s="38" t="s">
        <v>96</v>
      </c>
      <c r="E36" s="38" t="s">
        <v>145</v>
      </c>
      <c r="F36" s="38" t="s">
        <v>94</v>
      </c>
      <c r="G36" s="38" t="s">
        <v>147</v>
      </c>
      <c r="H36" s="25">
        <v>10</v>
      </c>
      <c r="I36" s="25" t="s">
        <v>88</v>
      </c>
      <c r="J36" s="42" t="s">
        <v>123</v>
      </c>
      <c r="K36" s="63"/>
      <c r="L36" s="63">
        <f>SUM(O36)</f>
        <v>0</v>
      </c>
      <c r="M36" s="63">
        <f>SUM(L36-K36)</f>
        <v>0</v>
      </c>
      <c r="N36" s="45"/>
      <c r="O36" s="45"/>
      <c r="P36" s="45"/>
      <c r="Q36" s="45">
        <f>SUM(O36-P36)</f>
        <v>0</v>
      </c>
    </row>
    <row r="37" spans="1:17" s="28" customFormat="1" ht="73.5" customHeight="1" x14ac:dyDescent="0.2">
      <c r="A37" s="27" t="s">
        <v>100</v>
      </c>
      <c r="B37" s="38" t="s">
        <v>101</v>
      </c>
      <c r="C37" s="38" t="s">
        <v>102</v>
      </c>
      <c r="D37" s="38" t="s">
        <v>96</v>
      </c>
      <c r="E37" s="38" t="s">
        <v>145</v>
      </c>
      <c r="F37" s="38" t="s">
        <v>99</v>
      </c>
      <c r="G37" s="38" t="s">
        <v>147</v>
      </c>
      <c r="H37" s="25">
        <v>10</v>
      </c>
      <c r="I37" s="25" t="s">
        <v>88</v>
      </c>
      <c r="J37" s="42" t="s">
        <v>212</v>
      </c>
      <c r="K37" s="63">
        <v>2893964</v>
      </c>
      <c r="L37" s="63">
        <f>SUM(O37)</f>
        <v>3000000</v>
      </c>
      <c r="M37" s="63">
        <f>SUM(L37-K37)</f>
        <v>106036</v>
      </c>
      <c r="N37" s="49">
        <v>500000</v>
      </c>
      <c r="O37" s="45">
        <v>3000000</v>
      </c>
      <c r="P37" s="48"/>
      <c r="Q37" s="45">
        <f>SUM(O37-P37)</f>
        <v>3000000</v>
      </c>
    </row>
    <row r="38" spans="1:17" s="34" customFormat="1" ht="36" x14ac:dyDescent="0.2">
      <c r="A38" s="31"/>
      <c r="B38" s="32"/>
      <c r="C38" s="32"/>
      <c r="D38" s="32"/>
      <c r="E38" s="32"/>
      <c r="F38" s="32"/>
      <c r="G38" s="32" t="s">
        <v>147</v>
      </c>
      <c r="H38" s="33"/>
      <c r="I38" s="33"/>
      <c r="J38" s="35" t="s">
        <v>152</v>
      </c>
      <c r="K38" s="39">
        <f t="shared" ref="K38:Q38" si="10">SUM(K34:K37)</f>
        <v>2893964</v>
      </c>
      <c r="L38" s="39">
        <f t="shared" si="10"/>
        <v>3000000</v>
      </c>
      <c r="M38" s="39">
        <f t="shared" si="10"/>
        <v>106036</v>
      </c>
      <c r="N38" s="49">
        <f t="shared" si="10"/>
        <v>500000</v>
      </c>
      <c r="O38" s="49">
        <f t="shared" si="10"/>
        <v>3000000</v>
      </c>
      <c r="P38" s="49">
        <f t="shared" si="10"/>
        <v>0</v>
      </c>
      <c r="Q38" s="49">
        <f t="shared" si="10"/>
        <v>3000000</v>
      </c>
    </row>
    <row r="39" spans="1:17" s="28" customFormat="1" ht="39.75" customHeight="1" x14ac:dyDescent="0.2">
      <c r="A39" s="27"/>
      <c r="B39" s="794" t="s">
        <v>125</v>
      </c>
      <c r="C39" s="795"/>
      <c r="D39" s="795"/>
      <c r="E39" s="795"/>
      <c r="F39" s="795"/>
      <c r="G39" s="795"/>
      <c r="H39" s="795"/>
      <c r="I39" s="795"/>
      <c r="J39" s="795"/>
      <c r="K39" s="64"/>
      <c r="L39" s="64"/>
      <c r="M39" s="64"/>
      <c r="N39" s="50"/>
      <c r="O39" s="50"/>
      <c r="P39" s="50"/>
      <c r="Q39" s="50"/>
    </row>
    <row r="40" spans="1:17" s="28" customFormat="1" ht="36" x14ac:dyDescent="0.2">
      <c r="A40" s="27" t="s">
        <v>100</v>
      </c>
      <c r="B40" s="38" t="s">
        <v>101</v>
      </c>
      <c r="C40" s="38" t="s">
        <v>102</v>
      </c>
      <c r="D40" s="38" t="s">
        <v>96</v>
      </c>
      <c r="E40" s="38" t="s">
        <v>93</v>
      </c>
      <c r="F40" s="38" t="s">
        <v>101</v>
      </c>
      <c r="G40" s="38" t="s">
        <v>147</v>
      </c>
      <c r="H40" s="25">
        <v>10</v>
      </c>
      <c r="I40" s="25" t="s">
        <v>88</v>
      </c>
      <c r="J40" s="36" t="s">
        <v>115</v>
      </c>
      <c r="K40" s="63">
        <v>9261670.0500000007</v>
      </c>
      <c r="L40" s="63">
        <f>SUM(O40)</f>
        <v>16000000</v>
      </c>
      <c r="M40" s="63">
        <f>SUM(L40-K40)</f>
        <v>6738329.9499999993</v>
      </c>
      <c r="N40" s="45">
        <v>4000000</v>
      </c>
      <c r="O40" s="47">
        <v>16000000</v>
      </c>
      <c r="P40" s="48"/>
      <c r="Q40" s="45">
        <f>SUM(O40-P40)</f>
        <v>16000000</v>
      </c>
    </row>
    <row r="41" spans="1:17" s="34" customFormat="1" ht="28.5" x14ac:dyDescent="0.2">
      <c r="A41" s="31"/>
      <c r="B41" s="32"/>
      <c r="C41" s="32"/>
      <c r="D41" s="32"/>
      <c r="E41" s="32"/>
      <c r="F41" s="32"/>
      <c r="G41" s="32"/>
      <c r="H41" s="33"/>
      <c r="I41" s="33"/>
      <c r="J41" s="35" t="s">
        <v>137</v>
      </c>
      <c r="K41" s="39">
        <f t="shared" ref="K41:Q41" si="11">SUM(K40:K40)</f>
        <v>9261670.0500000007</v>
      </c>
      <c r="L41" s="39">
        <f t="shared" si="11"/>
        <v>16000000</v>
      </c>
      <c r="M41" s="39">
        <f t="shared" si="11"/>
        <v>6738329.9499999993</v>
      </c>
      <c r="N41" s="49">
        <f t="shared" si="11"/>
        <v>4000000</v>
      </c>
      <c r="O41" s="49">
        <f t="shared" si="11"/>
        <v>16000000</v>
      </c>
      <c r="P41" s="49">
        <f t="shared" si="11"/>
        <v>0</v>
      </c>
      <c r="Q41" s="49">
        <f t="shared" si="11"/>
        <v>16000000</v>
      </c>
    </row>
  </sheetData>
  <mergeCells count="13">
    <mergeCell ref="B33:J33"/>
    <mergeCell ref="B39:J39"/>
    <mergeCell ref="B6:J6"/>
    <mergeCell ref="B10:J10"/>
    <mergeCell ref="B18:J18"/>
    <mergeCell ref="B27:J27"/>
    <mergeCell ref="A1:Q1"/>
    <mergeCell ref="A2:Q2"/>
    <mergeCell ref="B3:I3"/>
    <mergeCell ref="L4:L5"/>
    <mergeCell ref="K4:K5"/>
    <mergeCell ref="M4:M5"/>
    <mergeCell ref="N4:Q4"/>
  </mergeCells>
  <pageMargins left="1.299212598425197" right="0" top="0.39370078740157483" bottom="0" header="0.78740157480314965" footer="0.78740157480314965"/>
  <pageSetup paperSize="5" scale="29" orientation="landscape" horizontalDpi="300" verticalDpi="300" r:id="rId1"/>
  <headerFooter alignWithMargins="0"/>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55"/>
  <sheetViews>
    <sheetView showGridLines="0" zoomScale="55" zoomScaleNormal="55" zoomScaleSheetLayoutView="55" workbookViewId="0">
      <pane xSplit="2" topLeftCell="I1" activePane="topRight" state="frozen"/>
      <selection activeCell="A100" sqref="A100"/>
      <selection pane="topRight" activeCell="M5" sqref="M5"/>
    </sheetView>
  </sheetViews>
  <sheetFormatPr baseColWidth="10" defaultRowHeight="25.5" x14ac:dyDescent="0.25"/>
  <cols>
    <col min="1" max="1" width="32.7109375" style="19" customWidth="1"/>
    <col min="2" max="2" width="21.28515625" style="785" customWidth="1"/>
    <col min="3" max="3" width="61.85546875" style="19" customWidth="1"/>
    <col min="4" max="4" width="18" style="19" customWidth="1"/>
    <col min="5" max="5" width="18.5703125" style="786" customWidth="1"/>
    <col min="6" max="6" width="28.140625" style="786" customWidth="1"/>
    <col min="7" max="7" width="22.7109375" style="786" customWidth="1"/>
    <col min="8" max="8" width="26.42578125" style="20" customWidth="1"/>
    <col min="9" max="9" width="61.28515625" style="19" customWidth="1"/>
    <col min="10" max="10" width="31.42578125" style="786" customWidth="1"/>
    <col min="11" max="11" width="34.28515625" style="786" customWidth="1"/>
    <col min="12" max="12" width="37.140625" style="787" customWidth="1"/>
    <col min="13" max="13" width="34.28515625" style="787" customWidth="1"/>
    <col min="14" max="14" width="51.140625" style="788" customWidth="1"/>
    <col min="15" max="15" width="30.28515625" style="787" customWidth="1"/>
    <col min="16" max="16" width="84" style="19" customWidth="1"/>
    <col min="17" max="17" width="33.5703125" style="786" customWidth="1"/>
    <col min="18" max="19" width="42.5703125" style="786" customWidth="1"/>
    <col min="20" max="20" width="29.85546875" style="786" customWidth="1"/>
    <col min="21" max="22" width="26.42578125" style="786" customWidth="1"/>
    <col min="23" max="23" width="24.28515625" style="786" customWidth="1"/>
    <col min="24" max="24" width="35.85546875" style="786" customWidth="1"/>
    <col min="25" max="25" width="33.7109375" style="786" customWidth="1"/>
    <col min="26" max="27" width="38.7109375" style="786" customWidth="1"/>
    <col min="28" max="28" width="34.7109375" style="19" customWidth="1"/>
    <col min="29" max="29" width="36.28515625" style="786" customWidth="1"/>
    <col min="30" max="30" width="37.42578125" style="786" customWidth="1"/>
    <col min="31" max="32" width="37.85546875" style="19" customWidth="1"/>
    <col min="33" max="33" width="40.85546875" style="786" customWidth="1"/>
    <col min="34" max="34" width="37.7109375" style="786" customWidth="1"/>
    <col min="35" max="35" width="41.140625" style="786" customWidth="1"/>
    <col min="36" max="36" width="27.28515625" style="777" customWidth="1"/>
    <col min="37" max="37" width="23.140625" style="777" customWidth="1"/>
    <col min="38" max="38" width="21" style="776" customWidth="1"/>
    <col min="39" max="16384" width="11.42578125" style="777"/>
  </cols>
  <sheetData>
    <row r="1" spans="1:99" s="761" customFormat="1" ht="63" customHeight="1" x14ac:dyDescent="0.25">
      <c r="A1" s="753" t="s">
        <v>1268</v>
      </c>
      <c r="B1" s="754" t="s">
        <v>23</v>
      </c>
      <c r="C1" s="754" t="s">
        <v>164</v>
      </c>
      <c r="D1" s="753" t="s">
        <v>1269</v>
      </c>
      <c r="E1" s="754" t="s">
        <v>112</v>
      </c>
      <c r="F1" s="755" t="s">
        <v>1270</v>
      </c>
      <c r="G1" s="754" t="s">
        <v>1271</v>
      </c>
      <c r="H1" s="756" t="s">
        <v>24</v>
      </c>
      <c r="I1" s="754" t="s">
        <v>25</v>
      </c>
      <c r="J1" s="754" t="s">
        <v>1272</v>
      </c>
      <c r="K1" s="754" t="s">
        <v>26</v>
      </c>
      <c r="L1" s="757" t="s">
        <v>1273</v>
      </c>
      <c r="M1" s="757" t="s">
        <v>1274</v>
      </c>
      <c r="N1" s="758" t="s">
        <v>1275</v>
      </c>
      <c r="O1" s="757" t="s">
        <v>1276</v>
      </c>
      <c r="P1" s="754" t="s">
        <v>27</v>
      </c>
      <c r="Q1" s="754" t="s">
        <v>1277</v>
      </c>
      <c r="R1" s="754" t="s">
        <v>84</v>
      </c>
      <c r="S1" s="754" t="s">
        <v>1278</v>
      </c>
      <c r="T1" s="754" t="s">
        <v>28</v>
      </c>
      <c r="U1" s="754" t="s">
        <v>29</v>
      </c>
      <c r="V1" s="754" t="s">
        <v>85</v>
      </c>
      <c r="W1" s="754" t="s">
        <v>30</v>
      </c>
      <c r="X1" s="754" t="s">
        <v>31</v>
      </c>
      <c r="Y1" s="754" t="s">
        <v>32</v>
      </c>
      <c r="Z1" s="754" t="s">
        <v>33</v>
      </c>
      <c r="AA1" s="754" t="s">
        <v>1279</v>
      </c>
      <c r="AB1" s="754" t="s">
        <v>1280</v>
      </c>
      <c r="AC1" s="754" t="s">
        <v>1281</v>
      </c>
      <c r="AD1" s="754" t="s">
        <v>86</v>
      </c>
      <c r="AE1" s="754" t="s">
        <v>34</v>
      </c>
      <c r="AF1" s="754" t="s">
        <v>1282</v>
      </c>
      <c r="AG1" s="754" t="s">
        <v>1283</v>
      </c>
      <c r="AH1" s="754" t="s">
        <v>1284</v>
      </c>
      <c r="AI1" s="754" t="s">
        <v>1285</v>
      </c>
      <c r="AJ1" s="754" t="s">
        <v>1286</v>
      </c>
      <c r="AK1" s="759"/>
      <c r="AL1" s="760" t="s">
        <v>1266</v>
      </c>
      <c r="AM1" s="759"/>
    </row>
    <row r="2" spans="1:99" ht="215.25" customHeight="1" x14ac:dyDescent="0.25">
      <c r="A2" s="762">
        <v>74</v>
      </c>
      <c r="B2" s="763" t="s">
        <v>763</v>
      </c>
      <c r="C2" s="764" t="s">
        <v>234</v>
      </c>
      <c r="D2" s="765">
        <f>+COUNTIF(C:C,C:C)</f>
        <v>1</v>
      </c>
      <c r="E2" s="766" t="s">
        <v>1287</v>
      </c>
      <c r="F2" s="766">
        <v>52066363</v>
      </c>
      <c r="G2" s="766" t="s">
        <v>1288</v>
      </c>
      <c r="H2" s="767">
        <v>43105</v>
      </c>
      <c r="I2" s="768" t="s">
        <v>764</v>
      </c>
      <c r="J2" s="769" t="s">
        <v>61</v>
      </c>
      <c r="K2" s="769" t="s">
        <v>683</v>
      </c>
      <c r="L2" s="770" t="s">
        <v>1289</v>
      </c>
      <c r="M2" s="770">
        <v>25000000</v>
      </c>
      <c r="N2" s="771"/>
      <c r="O2" s="770">
        <v>25000000</v>
      </c>
      <c r="P2" s="769" t="s">
        <v>765</v>
      </c>
      <c r="Q2" s="769" t="s">
        <v>1290</v>
      </c>
      <c r="R2" s="769" t="s">
        <v>1291</v>
      </c>
      <c r="S2" s="769" t="s">
        <v>88</v>
      </c>
      <c r="T2" s="769" t="s">
        <v>1292</v>
      </c>
      <c r="U2" s="769" t="s">
        <v>36</v>
      </c>
      <c r="V2" s="769" t="s">
        <v>36</v>
      </c>
      <c r="W2" s="769" t="s">
        <v>36</v>
      </c>
      <c r="X2" s="768" t="s">
        <v>704</v>
      </c>
      <c r="Y2" s="767">
        <v>43105</v>
      </c>
      <c r="Z2" s="767">
        <v>43255</v>
      </c>
      <c r="AA2" s="772">
        <f t="shared" ref="AA2:AA65" si="0">Z2-Y2</f>
        <v>150</v>
      </c>
      <c r="AB2" s="768" t="s">
        <v>148</v>
      </c>
      <c r="AC2" s="767">
        <f t="shared" ref="AC2:AC65" si="1">Z2</f>
        <v>43255</v>
      </c>
      <c r="AD2" s="769" t="s">
        <v>766</v>
      </c>
      <c r="AE2" s="773" t="s">
        <v>767</v>
      </c>
      <c r="AF2" s="773"/>
      <c r="AG2" s="769"/>
      <c r="AH2" s="769"/>
      <c r="AI2" s="769"/>
      <c r="AJ2" s="774">
        <f ca="1">($AK$2-Y2)/(AC2-Y2)*100</f>
        <v>36.666666666666664</v>
      </c>
      <c r="AK2" s="775">
        <f ca="1">TODAY()</f>
        <v>43160</v>
      </c>
      <c r="AL2" s="776" t="str">
        <f>+MID(Q2,1,5)</f>
        <v xml:space="preserve">1918 </v>
      </c>
    </row>
    <row r="3" spans="1:99" ht="192" customHeight="1" x14ac:dyDescent="0.25">
      <c r="A3" s="778">
        <v>75</v>
      </c>
      <c r="B3" s="763" t="s">
        <v>768</v>
      </c>
      <c r="C3" s="764" t="s">
        <v>563</v>
      </c>
      <c r="D3" s="765">
        <f>+COUNTIF(C:C,C:C)</f>
        <v>1</v>
      </c>
      <c r="E3" s="766" t="s">
        <v>1287</v>
      </c>
      <c r="F3" s="766">
        <v>52696396</v>
      </c>
      <c r="G3" s="766" t="s">
        <v>1288</v>
      </c>
      <c r="H3" s="767">
        <v>43105</v>
      </c>
      <c r="I3" s="768" t="s">
        <v>764</v>
      </c>
      <c r="J3" s="769" t="s">
        <v>61</v>
      </c>
      <c r="K3" s="769" t="s">
        <v>683</v>
      </c>
      <c r="L3" s="770" t="s">
        <v>1289</v>
      </c>
      <c r="M3" s="770">
        <v>25000000</v>
      </c>
      <c r="N3" s="771"/>
      <c r="O3" s="770">
        <v>25000000</v>
      </c>
      <c r="P3" s="769" t="s">
        <v>765</v>
      </c>
      <c r="Q3" s="769" t="s">
        <v>1293</v>
      </c>
      <c r="R3" s="769" t="s">
        <v>1291</v>
      </c>
      <c r="S3" s="769" t="s">
        <v>88</v>
      </c>
      <c r="T3" s="769" t="s">
        <v>1294</v>
      </c>
      <c r="U3" s="769" t="s">
        <v>36</v>
      </c>
      <c r="V3" s="769" t="s">
        <v>36</v>
      </c>
      <c r="W3" s="769" t="s">
        <v>36</v>
      </c>
      <c r="X3" s="768" t="s">
        <v>704</v>
      </c>
      <c r="Y3" s="767">
        <v>43105</v>
      </c>
      <c r="Z3" s="767">
        <v>43255</v>
      </c>
      <c r="AA3" s="772">
        <f t="shared" si="0"/>
        <v>150</v>
      </c>
      <c r="AB3" s="768" t="s">
        <v>148</v>
      </c>
      <c r="AC3" s="767">
        <f t="shared" si="1"/>
        <v>43255</v>
      </c>
      <c r="AD3" s="769" t="s">
        <v>766</v>
      </c>
      <c r="AE3" s="773" t="s">
        <v>767</v>
      </c>
      <c r="AF3" s="773"/>
      <c r="AG3" s="779"/>
      <c r="AH3" s="769"/>
      <c r="AI3" s="769"/>
      <c r="AJ3" s="774">
        <f ca="1">($AK$2-Y3)/(AC3-Y3)*100</f>
        <v>36.666666666666664</v>
      </c>
      <c r="AK3" s="775"/>
      <c r="AL3" s="776" t="str">
        <f t="shared" ref="AL3:AL66" si="2">+MID(Q3,1,5)</f>
        <v xml:space="preserve">2018 </v>
      </c>
      <c r="CU3" s="777" t="s">
        <v>1295</v>
      </c>
    </row>
    <row r="4" spans="1:99" ht="193.5" customHeight="1" x14ac:dyDescent="0.25">
      <c r="A4" s="778">
        <v>108</v>
      </c>
      <c r="B4" s="763" t="s">
        <v>897</v>
      </c>
      <c r="C4" s="764" t="s">
        <v>575</v>
      </c>
      <c r="D4" s="765">
        <f>+COUNTIF(C:C,C:C)</f>
        <v>1</v>
      </c>
      <c r="E4" s="766" t="s">
        <v>1287</v>
      </c>
      <c r="F4" s="766">
        <v>1014192475</v>
      </c>
      <c r="G4" s="766" t="s">
        <v>1288</v>
      </c>
      <c r="H4" s="767">
        <v>43105</v>
      </c>
      <c r="I4" s="768" t="s">
        <v>898</v>
      </c>
      <c r="J4" s="769" t="s">
        <v>61</v>
      </c>
      <c r="K4" s="769" t="s">
        <v>683</v>
      </c>
      <c r="L4" s="770" t="s">
        <v>1296</v>
      </c>
      <c r="M4" s="770">
        <v>21200000</v>
      </c>
      <c r="N4" s="771"/>
      <c r="O4" s="770">
        <v>21200000</v>
      </c>
      <c r="P4" s="768" t="s">
        <v>899</v>
      </c>
      <c r="Q4" s="769" t="s">
        <v>1297</v>
      </c>
      <c r="R4" s="769" t="s">
        <v>422</v>
      </c>
      <c r="S4" s="769" t="s">
        <v>88</v>
      </c>
      <c r="T4" s="769" t="s">
        <v>1298</v>
      </c>
      <c r="U4" s="769" t="s">
        <v>36</v>
      </c>
      <c r="V4" s="769" t="s">
        <v>36</v>
      </c>
      <c r="W4" s="769" t="s">
        <v>36</v>
      </c>
      <c r="X4" s="768" t="s">
        <v>704</v>
      </c>
      <c r="Y4" s="767">
        <v>43105</v>
      </c>
      <c r="Z4" s="767">
        <v>43255</v>
      </c>
      <c r="AA4" s="772">
        <f t="shared" si="0"/>
        <v>150</v>
      </c>
      <c r="AB4" s="768" t="s">
        <v>148</v>
      </c>
      <c r="AC4" s="767">
        <f t="shared" si="1"/>
        <v>43255</v>
      </c>
      <c r="AD4" s="769" t="s">
        <v>900</v>
      </c>
      <c r="AE4" s="773" t="s">
        <v>901</v>
      </c>
      <c r="AF4" s="773"/>
      <c r="AG4" s="779"/>
      <c r="AH4" s="769"/>
      <c r="AI4" s="769"/>
      <c r="AJ4" s="774">
        <f t="shared" ref="AJ4:AJ67" ca="1" si="3">($AK$2-Y4)/(AC4-Y4)*100</f>
        <v>36.666666666666664</v>
      </c>
      <c r="AK4" s="775"/>
      <c r="AL4" s="776" t="str">
        <f t="shared" si="2"/>
        <v xml:space="preserve">6618 </v>
      </c>
    </row>
    <row r="5" spans="1:99" ht="170.25" customHeight="1" x14ac:dyDescent="0.25">
      <c r="A5" s="778">
        <v>70</v>
      </c>
      <c r="B5" s="763" t="s">
        <v>749</v>
      </c>
      <c r="C5" s="764" t="s">
        <v>750</v>
      </c>
      <c r="D5" s="765">
        <f>+COUNTIF(C:C,C:C)</f>
        <v>1</v>
      </c>
      <c r="E5" s="766" t="s">
        <v>1287</v>
      </c>
      <c r="F5" s="766">
        <v>1094903458</v>
      </c>
      <c r="G5" s="766" t="s">
        <v>1299</v>
      </c>
      <c r="H5" s="767">
        <v>43105</v>
      </c>
      <c r="I5" s="768" t="s">
        <v>751</v>
      </c>
      <c r="J5" s="769" t="s">
        <v>61</v>
      </c>
      <c r="K5" s="769" t="s">
        <v>683</v>
      </c>
      <c r="L5" s="770" t="s">
        <v>1300</v>
      </c>
      <c r="M5" s="770">
        <v>41500000</v>
      </c>
      <c r="N5" s="771"/>
      <c r="O5" s="770">
        <f>M5</f>
        <v>41500000</v>
      </c>
      <c r="P5" s="768" t="s">
        <v>752</v>
      </c>
      <c r="Q5" s="769" t="s">
        <v>1301</v>
      </c>
      <c r="R5" s="769" t="s">
        <v>1291</v>
      </c>
      <c r="S5" s="769" t="s">
        <v>88</v>
      </c>
      <c r="T5" s="769" t="s">
        <v>1302</v>
      </c>
      <c r="U5" s="769" t="s">
        <v>36</v>
      </c>
      <c r="V5" s="769" t="s">
        <v>36</v>
      </c>
      <c r="W5" s="769" t="s">
        <v>36</v>
      </c>
      <c r="X5" s="768" t="s">
        <v>704</v>
      </c>
      <c r="Y5" s="767">
        <v>43105</v>
      </c>
      <c r="Z5" s="767">
        <v>43255</v>
      </c>
      <c r="AA5" s="772">
        <f t="shared" si="0"/>
        <v>150</v>
      </c>
      <c r="AB5" s="768" t="s">
        <v>148</v>
      </c>
      <c r="AC5" s="767">
        <f t="shared" si="1"/>
        <v>43255</v>
      </c>
      <c r="AD5" s="769" t="s">
        <v>748</v>
      </c>
      <c r="AE5" s="773" t="s">
        <v>301</v>
      </c>
      <c r="AF5" s="773"/>
      <c r="AG5" s="779"/>
      <c r="AH5" s="769"/>
      <c r="AI5" s="769"/>
      <c r="AJ5" s="774">
        <f t="shared" ca="1" si="3"/>
        <v>36.666666666666664</v>
      </c>
      <c r="AK5" s="775"/>
      <c r="AL5" s="776" t="str">
        <f t="shared" si="2"/>
        <v xml:space="preserve">3418 </v>
      </c>
    </row>
    <row r="6" spans="1:99" ht="170.25" customHeight="1" x14ac:dyDescent="0.25">
      <c r="A6" s="778">
        <v>72</v>
      </c>
      <c r="B6" s="763" t="s">
        <v>756</v>
      </c>
      <c r="C6" s="764" t="s">
        <v>757</v>
      </c>
      <c r="D6" s="765">
        <f>+COUNTIF(C:C,C:C)</f>
        <v>1</v>
      </c>
      <c r="E6" s="766" t="s">
        <v>1287</v>
      </c>
      <c r="F6" s="766">
        <v>1010178058</v>
      </c>
      <c r="G6" s="766" t="s">
        <v>1288</v>
      </c>
      <c r="H6" s="767">
        <v>43109</v>
      </c>
      <c r="I6" s="768" t="s">
        <v>758</v>
      </c>
      <c r="J6" s="769" t="s">
        <v>61</v>
      </c>
      <c r="K6" s="769" t="s">
        <v>683</v>
      </c>
      <c r="L6" s="770" t="s">
        <v>1303</v>
      </c>
      <c r="M6" s="770">
        <v>30000000</v>
      </c>
      <c r="N6" s="771"/>
      <c r="O6" s="770">
        <f>M6</f>
        <v>30000000</v>
      </c>
      <c r="P6" s="768" t="s">
        <v>759</v>
      </c>
      <c r="Q6" s="769" t="s">
        <v>1304</v>
      </c>
      <c r="R6" s="769" t="s">
        <v>1305</v>
      </c>
      <c r="S6" s="769" t="s">
        <v>88</v>
      </c>
      <c r="T6" s="769" t="s">
        <v>1306</v>
      </c>
      <c r="U6" s="769" t="s">
        <v>36</v>
      </c>
      <c r="V6" s="769" t="s">
        <v>36</v>
      </c>
      <c r="W6" s="769" t="s">
        <v>36</v>
      </c>
      <c r="X6" s="768" t="s">
        <v>704</v>
      </c>
      <c r="Y6" s="767">
        <v>43110</v>
      </c>
      <c r="Z6" s="767">
        <v>43260</v>
      </c>
      <c r="AA6" s="772">
        <f t="shared" si="0"/>
        <v>150</v>
      </c>
      <c r="AB6" s="768" t="s">
        <v>148</v>
      </c>
      <c r="AC6" s="767">
        <f t="shared" si="1"/>
        <v>43260</v>
      </c>
      <c r="AD6" s="769" t="s">
        <v>237</v>
      </c>
      <c r="AE6" s="773" t="s">
        <v>693</v>
      </c>
      <c r="AF6" s="773"/>
      <c r="AG6" s="779"/>
      <c r="AH6" s="769"/>
      <c r="AI6" s="769"/>
      <c r="AJ6" s="774">
        <f t="shared" ca="1" si="3"/>
        <v>33.333333333333329</v>
      </c>
      <c r="AK6" s="775"/>
      <c r="AL6" s="776" t="str">
        <f t="shared" si="2"/>
        <v xml:space="preserve">3618 </v>
      </c>
    </row>
    <row r="7" spans="1:99" ht="170.25" customHeight="1" x14ac:dyDescent="0.25">
      <c r="A7" s="778">
        <v>78</v>
      </c>
      <c r="B7" s="763" t="s">
        <v>778</v>
      </c>
      <c r="C7" s="764" t="s">
        <v>280</v>
      </c>
      <c r="D7" s="765">
        <f>+COUNTIF(C:C,C:C)</f>
        <v>1</v>
      </c>
      <c r="E7" s="766" t="s">
        <v>1287</v>
      </c>
      <c r="F7" s="766">
        <v>80829521</v>
      </c>
      <c r="G7" s="766" t="s">
        <v>1299</v>
      </c>
      <c r="H7" s="767">
        <v>43109</v>
      </c>
      <c r="I7" s="768" t="s">
        <v>779</v>
      </c>
      <c r="J7" s="769" t="s">
        <v>61</v>
      </c>
      <c r="K7" s="769" t="s">
        <v>683</v>
      </c>
      <c r="L7" s="770" t="s">
        <v>1307</v>
      </c>
      <c r="M7" s="770">
        <v>26155000</v>
      </c>
      <c r="N7" s="771"/>
      <c r="O7" s="770">
        <f t="shared" ref="O7:O70" si="4">M7</f>
        <v>26155000</v>
      </c>
      <c r="P7" s="768" t="s">
        <v>780</v>
      </c>
      <c r="Q7" s="769" t="s">
        <v>1308</v>
      </c>
      <c r="R7" s="769" t="s">
        <v>1291</v>
      </c>
      <c r="S7" s="769" t="s">
        <v>88</v>
      </c>
      <c r="T7" s="769" t="s">
        <v>1309</v>
      </c>
      <c r="U7" s="769" t="s">
        <v>36</v>
      </c>
      <c r="V7" s="769" t="s">
        <v>36</v>
      </c>
      <c r="W7" s="769" t="s">
        <v>36</v>
      </c>
      <c r="X7" s="768" t="s">
        <v>704</v>
      </c>
      <c r="Y7" s="767">
        <v>43110</v>
      </c>
      <c r="Z7" s="767">
        <v>43260</v>
      </c>
      <c r="AA7" s="772">
        <f t="shared" si="0"/>
        <v>150</v>
      </c>
      <c r="AB7" s="768" t="s">
        <v>148</v>
      </c>
      <c r="AC7" s="767">
        <f t="shared" si="1"/>
        <v>43260</v>
      </c>
      <c r="AD7" s="769" t="s">
        <v>781</v>
      </c>
      <c r="AE7" s="773" t="s">
        <v>782</v>
      </c>
      <c r="AF7" s="773"/>
      <c r="AG7" s="779"/>
      <c r="AH7" s="769"/>
      <c r="AI7" s="769"/>
      <c r="AJ7" s="774">
        <f t="shared" ca="1" si="3"/>
        <v>33.333333333333329</v>
      </c>
      <c r="AK7" s="775"/>
      <c r="AL7" s="776" t="str">
        <f t="shared" si="2"/>
        <v xml:space="preserve">3918 </v>
      </c>
    </row>
    <row r="8" spans="1:99" ht="170.25" customHeight="1" x14ac:dyDescent="0.25">
      <c r="A8" s="778">
        <v>57</v>
      </c>
      <c r="B8" s="763" t="s">
        <v>706</v>
      </c>
      <c r="C8" s="764" t="s">
        <v>707</v>
      </c>
      <c r="D8" s="765">
        <f>+COUNTIF(C:C,C:C)</f>
        <v>1</v>
      </c>
      <c r="E8" s="766" t="s">
        <v>1287</v>
      </c>
      <c r="F8" s="766">
        <v>72297391</v>
      </c>
      <c r="G8" s="766" t="s">
        <v>1299</v>
      </c>
      <c r="H8" s="767">
        <v>43109</v>
      </c>
      <c r="I8" s="768" t="s">
        <v>708</v>
      </c>
      <c r="J8" s="769" t="s">
        <v>61</v>
      </c>
      <c r="K8" s="769" t="s">
        <v>683</v>
      </c>
      <c r="L8" s="770" t="s">
        <v>1310</v>
      </c>
      <c r="M8" s="770">
        <v>19475000</v>
      </c>
      <c r="N8" s="771"/>
      <c r="O8" s="770">
        <f t="shared" si="4"/>
        <v>19475000</v>
      </c>
      <c r="P8" s="768" t="s">
        <v>709</v>
      </c>
      <c r="Q8" s="769" t="s">
        <v>1311</v>
      </c>
      <c r="R8" s="769" t="s">
        <v>1291</v>
      </c>
      <c r="S8" s="769" t="s">
        <v>88</v>
      </c>
      <c r="T8" s="769" t="s">
        <v>1312</v>
      </c>
      <c r="U8" s="769" t="s">
        <v>36</v>
      </c>
      <c r="V8" s="769" t="s">
        <v>36</v>
      </c>
      <c r="W8" s="769" t="s">
        <v>36</v>
      </c>
      <c r="X8" s="768" t="s">
        <v>704</v>
      </c>
      <c r="Y8" s="767">
        <v>43109</v>
      </c>
      <c r="Z8" s="767">
        <v>43259</v>
      </c>
      <c r="AA8" s="772">
        <f t="shared" si="0"/>
        <v>150</v>
      </c>
      <c r="AB8" s="768" t="s">
        <v>148</v>
      </c>
      <c r="AC8" s="767">
        <f t="shared" si="1"/>
        <v>43259</v>
      </c>
      <c r="AD8" s="769" t="s">
        <v>1313</v>
      </c>
      <c r="AE8" s="773" t="s">
        <v>693</v>
      </c>
      <c r="AF8" s="773" t="s">
        <v>710</v>
      </c>
      <c r="AG8" s="779"/>
      <c r="AH8" s="769"/>
      <c r="AI8" s="769"/>
      <c r="AJ8" s="774">
        <f t="shared" ca="1" si="3"/>
        <v>34</v>
      </c>
      <c r="AK8" s="775"/>
      <c r="AL8" s="776" t="str">
        <f t="shared" si="2"/>
        <v xml:space="preserve">2418 </v>
      </c>
    </row>
    <row r="9" spans="1:99" ht="170.25" customHeight="1" x14ac:dyDescent="0.25">
      <c r="A9" s="778">
        <v>71</v>
      </c>
      <c r="B9" s="763" t="s">
        <v>753</v>
      </c>
      <c r="C9" s="764" t="s">
        <v>1314</v>
      </c>
      <c r="D9" s="765">
        <f>+COUNTIF(C:C,C:C)</f>
        <v>1</v>
      </c>
      <c r="E9" s="766" t="s">
        <v>1287</v>
      </c>
      <c r="F9" s="766">
        <v>1082976365</v>
      </c>
      <c r="G9" s="766" t="s">
        <v>1288</v>
      </c>
      <c r="H9" s="767">
        <v>43109</v>
      </c>
      <c r="I9" s="768" t="s">
        <v>754</v>
      </c>
      <c r="J9" s="769" t="s">
        <v>61</v>
      </c>
      <c r="K9" s="769" t="s">
        <v>683</v>
      </c>
      <c r="L9" s="770" t="s">
        <v>1315</v>
      </c>
      <c r="M9" s="770">
        <v>15165000</v>
      </c>
      <c r="N9" s="771"/>
      <c r="O9" s="770">
        <f t="shared" si="4"/>
        <v>15165000</v>
      </c>
      <c r="P9" s="768" t="s">
        <v>755</v>
      </c>
      <c r="Q9" s="769" t="s">
        <v>1316</v>
      </c>
      <c r="R9" s="769" t="s">
        <v>1305</v>
      </c>
      <c r="S9" s="769" t="s">
        <v>88</v>
      </c>
      <c r="T9" s="769" t="s">
        <v>1317</v>
      </c>
      <c r="U9" s="769" t="s">
        <v>36</v>
      </c>
      <c r="V9" s="769" t="s">
        <v>36</v>
      </c>
      <c r="W9" s="769" t="s">
        <v>36</v>
      </c>
      <c r="X9" s="768" t="s">
        <v>704</v>
      </c>
      <c r="Y9" s="767">
        <v>43110</v>
      </c>
      <c r="Z9" s="767">
        <v>43260</v>
      </c>
      <c r="AA9" s="772">
        <f t="shared" si="0"/>
        <v>150</v>
      </c>
      <c r="AB9" s="768" t="s">
        <v>148</v>
      </c>
      <c r="AC9" s="767">
        <f t="shared" si="1"/>
        <v>43260</v>
      </c>
      <c r="AD9" s="769" t="s">
        <v>237</v>
      </c>
      <c r="AE9" s="773" t="s">
        <v>693</v>
      </c>
      <c r="AF9" s="773"/>
      <c r="AG9" s="780" t="s">
        <v>1318</v>
      </c>
      <c r="AH9" s="769"/>
      <c r="AI9" s="769"/>
      <c r="AJ9" s="774">
        <f t="shared" ca="1" si="3"/>
        <v>33.333333333333329</v>
      </c>
      <c r="AK9" s="775"/>
      <c r="AL9" s="776" t="str">
        <f t="shared" si="2"/>
        <v xml:space="preserve">3518 </v>
      </c>
    </row>
    <row r="10" spans="1:99" ht="170.25" customHeight="1" x14ac:dyDescent="0.25">
      <c r="A10" s="778">
        <v>85</v>
      </c>
      <c r="B10" s="763" t="s">
        <v>808</v>
      </c>
      <c r="C10" s="764" t="s">
        <v>302</v>
      </c>
      <c r="D10" s="765">
        <f>+COUNTIF(C:C,C:C)</f>
        <v>1</v>
      </c>
      <c r="E10" s="766" t="s">
        <v>1287</v>
      </c>
      <c r="F10" s="766">
        <v>88031581</v>
      </c>
      <c r="G10" s="766" t="s">
        <v>1299</v>
      </c>
      <c r="H10" s="767">
        <v>43109</v>
      </c>
      <c r="I10" s="768" t="s">
        <v>809</v>
      </c>
      <c r="J10" s="769" t="s">
        <v>61</v>
      </c>
      <c r="K10" s="769" t="s">
        <v>683</v>
      </c>
      <c r="L10" s="770" t="s">
        <v>1319</v>
      </c>
      <c r="M10" s="770">
        <v>32320200</v>
      </c>
      <c r="N10" s="771"/>
      <c r="O10" s="770">
        <f t="shared" si="4"/>
        <v>32320200</v>
      </c>
      <c r="P10" s="768" t="s">
        <v>810</v>
      </c>
      <c r="Q10" s="769" t="s">
        <v>1320</v>
      </c>
      <c r="R10" s="769" t="s">
        <v>1321</v>
      </c>
      <c r="S10" s="769" t="s">
        <v>88</v>
      </c>
      <c r="T10" s="769" t="s">
        <v>1322</v>
      </c>
      <c r="U10" s="769" t="s">
        <v>36</v>
      </c>
      <c r="V10" s="769" t="s">
        <v>36</v>
      </c>
      <c r="W10" s="769" t="s">
        <v>36</v>
      </c>
      <c r="X10" s="768" t="s">
        <v>805</v>
      </c>
      <c r="Y10" s="767">
        <v>43109</v>
      </c>
      <c r="Z10" s="767">
        <v>43289</v>
      </c>
      <c r="AA10" s="772">
        <f t="shared" si="0"/>
        <v>180</v>
      </c>
      <c r="AB10" s="768" t="s">
        <v>148</v>
      </c>
      <c r="AC10" s="767">
        <f t="shared" si="1"/>
        <v>43289</v>
      </c>
      <c r="AD10" s="769" t="s">
        <v>686</v>
      </c>
      <c r="AE10" s="773" t="s">
        <v>672</v>
      </c>
      <c r="AF10" s="773"/>
      <c r="AG10" s="779"/>
      <c r="AH10" s="769"/>
      <c r="AI10" s="769"/>
      <c r="AJ10" s="774">
        <f t="shared" ca="1" si="3"/>
        <v>28.333333333333332</v>
      </c>
      <c r="AK10" s="775"/>
      <c r="AL10" s="776" t="str">
        <f t="shared" si="2"/>
        <v xml:space="preserve">4518 </v>
      </c>
    </row>
    <row r="11" spans="1:99" ht="170.25" customHeight="1" x14ac:dyDescent="0.25">
      <c r="A11" s="778">
        <v>66</v>
      </c>
      <c r="B11" s="763" t="s">
        <v>732</v>
      </c>
      <c r="C11" s="764" t="s">
        <v>733</v>
      </c>
      <c r="D11" s="765">
        <f>+COUNTIF(C:C,C:C)</f>
        <v>1</v>
      </c>
      <c r="E11" s="766" t="s">
        <v>1287</v>
      </c>
      <c r="F11" s="766">
        <v>1026279367</v>
      </c>
      <c r="G11" s="766" t="s">
        <v>1288</v>
      </c>
      <c r="H11" s="767">
        <v>43109</v>
      </c>
      <c r="I11" s="768" t="s">
        <v>734</v>
      </c>
      <c r="J11" s="769" t="s">
        <v>61</v>
      </c>
      <c r="K11" s="769" t="s">
        <v>683</v>
      </c>
      <c r="L11" s="770" t="s">
        <v>1323</v>
      </c>
      <c r="M11" s="770">
        <v>21700000</v>
      </c>
      <c r="N11" s="771"/>
      <c r="O11" s="770">
        <f t="shared" si="4"/>
        <v>21700000</v>
      </c>
      <c r="P11" s="768" t="s">
        <v>735</v>
      </c>
      <c r="Q11" s="769" t="s">
        <v>1324</v>
      </c>
      <c r="R11" s="769" t="s">
        <v>1291</v>
      </c>
      <c r="S11" s="769" t="s">
        <v>88</v>
      </c>
      <c r="T11" s="769" t="s">
        <v>1325</v>
      </c>
      <c r="U11" s="769" t="s">
        <v>36</v>
      </c>
      <c r="V11" s="769" t="s">
        <v>36</v>
      </c>
      <c r="W11" s="769" t="s">
        <v>36</v>
      </c>
      <c r="X11" s="768" t="s">
        <v>704</v>
      </c>
      <c r="Y11" s="767">
        <v>43109</v>
      </c>
      <c r="Z11" s="767">
        <v>43259</v>
      </c>
      <c r="AA11" s="772">
        <f t="shared" si="0"/>
        <v>150</v>
      </c>
      <c r="AB11" s="768" t="s">
        <v>148</v>
      </c>
      <c r="AC11" s="767">
        <f t="shared" si="1"/>
        <v>43259</v>
      </c>
      <c r="AD11" s="769" t="s">
        <v>1326</v>
      </c>
      <c r="AE11" s="773" t="s">
        <v>693</v>
      </c>
      <c r="AF11" s="773" t="s">
        <v>710</v>
      </c>
      <c r="AG11" s="779"/>
      <c r="AH11" s="769"/>
      <c r="AI11" s="769"/>
      <c r="AJ11" s="774">
        <f t="shared" ca="1" si="3"/>
        <v>34</v>
      </c>
      <c r="AK11" s="775"/>
      <c r="AL11" s="776" t="str">
        <f t="shared" si="2"/>
        <v xml:space="preserve">3018 </v>
      </c>
    </row>
    <row r="12" spans="1:99" ht="170.25" customHeight="1" x14ac:dyDescent="0.25">
      <c r="A12" s="778">
        <v>68</v>
      </c>
      <c r="B12" s="763" t="s">
        <v>741</v>
      </c>
      <c r="C12" s="764" t="s">
        <v>237</v>
      </c>
      <c r="D12" s="765">
        <f>+COUNTIF(C:C,C:C)</f>
        <v>2</v>
      </c>
      <c r="E12" s="766" t="s">
        <v>1287</v>
      </c>
      <c r="F12" s="766">
        <v>80153592</v>
      </c>
      <c r="G12" s="766" t="s">
        <v>1299</v>
      </c>
      <c r="H12" s="767">
        <v>43109</v>
      </c>
      <c r="I12" s="768" t="s">
        <v>742</v>
      </c>
      <c r="J12" s="769" t="s">
        <v>61</v>
      </c>
      <c r="K12" s="769" t="s">
        <v>683</v>
      </c>
      <c r="L12" s="770" t="s">
        <v>1327</v>
      </c>
      <c r="M12" s="770">
        <v>42500000</v>
      </c>
      <c r="N12" s="771"/>
      <c r="O12" s="770">
        <f t="shared" si="4"/>
        <v>42500000</v>
      </c>
      <c r="P12" s="768" t="s">
        <v>743</v>
      </c>
      <c r="Q12" s="769" t="s">
        <v>1328</v>
      </c>
      <c r="R12" s="769" t="s">
        <v>1291</v>
      </c>
      <c r="S12" s="769" t="s">
        <v>88</v>
      </c>
      <c r="T12" s="769" t="s">
        <v>1329</v>
      </c>
      <c r="U12" s="769" t="s">
        <v>36</v>
      </c>
      <c r="V12" s="769" t="s">
        <v>36</v>
      </c>
      <c r="W12" s="769" t="s">
        <v>36</v>
      </c>
      <c r="X12" s="768" t="s">
        <v>704</v>
      </c>
      <c r="Y12" s="767">
        <v>43109</v>
      </c>
      <c r="Z12" s="767">
        <v>43259</v>
      </c>
      <c r="AA12" s="772">
        <f t="shared" si="0"/>
        <v>150</v>
      </c>
      <c r="AB12" s="768" t="s">
        <v>148</v>
      </c>
      <c r="AC12" s="767">
        <f t="shared" si="1"/>
        <v>43259</v>
      </c>
      <c r="AD12" s="769" t="s">
        <v>710</v>
      </c>
      <c r="AE12" s="773" t="s">
        <v>693</v>
      </c>
      <c r="AF12" s="773"/>
      <c r="AG12" s="780" t="s">
        <v>1330</v>
      </c>
      <c r="AH12" s="769"/>
      <c r="AI12" s="769"/>
      <c r="AJ12" s="781" t="s">
        <v>1331</v>
      </c>
      <c r="AK12" s="775"/>
      <c r="AL12" s="776" t="str">
        <f t="shared" si="2"/>
        <v xml:space="preserve">3218 </v>
      </c>
    </row>
    <row r="13" spans="1:99" ht="170.25" customHeight="1" x14ac:dyDescent="0.25">
      <c r="A13" s="778">
        <v>77</v>
      </c>
      <c r="B13" s="763" t="s">
        <v>774</v>
      </c>
      <c r="C13" s="764" t="s">
        <v>775</v>
      </c>
      <c r="D13" s="765">
        <f>+COUNTIF(C:C,C:C)</f>
        <v>1</v>
      </c>
      <c r="E13" s="766" t="s">
        <v>1287</v>
      </c>
      <c r="F13" s="766">
        <v>16078098</v>
      </c>
      <c r="G13" s="766" t="s">
        <v>1299</v>
      </c>
      <c r="H13" s="767">
        <v>43109</v>
      </c>
      <c r="I13" s="768" t="s">
        <v>776</v>
      </c>
      <c r="J13" s="769" t="s">
        <v>61</v>
      </c>
      <c r="K13" s="769" t="s">
        <v>683</v>
      </c>
      <c r="L13" s="770" t="s">
        <v>1332</v>
      </c>
      <c r="M13" s="770">
        <v>28500000</v>
      </c>
      <c r="N13" s="771"/>
      <c r="O13" s="770">
        <f t="shared" si="4"/>
        <v>28500000</v>
      </c>
      <c r="P13" s="768" t="s">
        <v>777</v>
      </c>
      <c r="Q13" s="769" t="s">
        <v>1333</v>
      </c>
      <c r="R13" s="769" t="s">
        <v>1305</v>
      </c>
      <c r="S13" s="769" t="s">
        <v>88</v>
      </c>
      <c r="T13" s="769" t="s">
        <v>1334</v>
      </c>
      <c r="U13" s="769" t="s">
        <v>36</v>
      </c>
      <c r="V13" s="769" t="s">
        <v>36</v>
      </c>
      <c r="W13" s="769" t="s">
        <v>36</v>
      </c>
      <c r="X13" s="768" t="s">
        <v>704</v>
      </c>
      <c r="Y13" s="767">
        <v>43116</v>
      </c>
      <c r="Z13" s="767">
        <v>43266</v>
      </c>
      <c r="AA13" s="772">
        <f t="shared" si="0"/>
        <v>150</v>
      </c>
      <c r="AB13" s="768" t="s">
        <v>148</v>
      </c>
      <c r="AC13" s="767">
        <f t="shared" si="1"/>
        <v>43266</v>
      </c>
      <c r="AD13" s="769" t="s">
        <v>714</v>
      </c>
      <c r="AE13" s="773" t="s">
        <v>235</v>
      </c>
      <c r="AF13" s="773"/>
      <c r="AG13" s="779"/>
      <c r="AH13" s="769"/>
      <c r="AI13" s="769"/>
      <c r="AJ13" s="774">
        <f t="shared" ca="1" si="3"/>
        <v>29.333333333333332</v>
      </c>
      <c r="AK13" s="775"/>
      <c r="AL13" s="776" t="str">
        <f t="shared" si="2"/>
        <v xml:space="preserve">3818 </v>
      </c>
    </row>
    <row r="14" spans="1:99" ht="170.25" customHeight="1" x14ac:dyDescent="0.25">
      <c r="A14" s="778">
        <v>86</v>
      </c>
      <c r="B14" s="763" t="s">
        <v>811</v>
      </c>
      <c r="C14" s="764" t="s">
        <v>812</v>
      </c>
      <c r="D14" s="765">
        <f>+COUNTIF(C:C,C:C)</f>
        <v>1</v>
      </c>
      <c r="E14" s="766" t="s">
        <v>1287</v>
      </c>
      <c r="F14" s="766">
        <v>49729646</v>
      </c>
      <c r="G14" s="766" t="s">
        <v>1288</v>
      </c>
      <c r="H14" s="767">
        <v>43109</v>
      </c>
      <c r="I14" s="768" t="s">
        <v>813</v>
      </c>
      <c r="J14" s="769" t="s">
        <v>61</v>
      </c>
      <c r="K14" s="769" t="s">
        <v>683</v>
      </c>
      <c r="L14" s="770" t="s">
        <v>1335</v>
      </c>
      <c r="M14" s="770">
        <v>56450000</v>
      </c>
      <c r="N14" s="771"/>
      <c r="O14" s="770">
        <f t="shared" si="4"/>
        <v>56450000</v>
      </c>
      <c r="P14" s="768" t="s">
        <v>814</v>
      </c>
      <c r="Q14" s="769" t="s">
        <v>1336</v>
      </c>
      <c r="R14" s="769" t="s">
        <v>1305</v>
      </c>
      <c r="S14" s="769" t="s">
        <v>88</v>
      </c>
      <c r="T14" s="769" t="s">
        <v>1337</v>
      </c>
      <c r="U14" s="769" t="s">
        <v>36</v>
      </c>
      <c r="V14" s="769" t="s">
        <v>36</v>
      </c>
      <c r="W14" s="769" t="s">
        <v>36</v>
      </c>
      <c r="X14" s="768" t="s">
        <v>704</v>
      </c>
      <c r="Y14" s="767">
        <v>43109</v>
      </c>
      <c r="Z14" s="767">
        <v>43259</v>
      </c>
      <c r="AA14" s="772">
        <f t="shared" si="0"/>
        <v>150</v>
      </c>
      <c r="AB14" s="768" t="s">
        <v>148</v>
      </c>
      <c r="AC14" s="767">
        <f t="shared" si="1"/>
        <v>43259</v>
      </c>
      <c r="AD14" s="769" t="s">
        <v>815</v>
      </c>
      <c r="AE14" s="773" t="s">
        <v>816</v>
      </c>
      <c r="AF14" s="773"/>
      <c r="AG14" s="779"/>
      <c r="AH14" s="769"/>
      <c r="AI14" s="769"/>
      <c r="AJ14" s="774">
        <f t="shared" ca="1" si="3"/>
        <v>34</v>
      </c>
      <c r="AK14" s="775"/>
      <c r="AL14" s="776" t="str">
        <f t="shared" si="2"/>
        <v xml:space="preserve">4618 </v>
      </c>
    </row>
    <row r="15" spans="1:99" ht="170.25" customHeight="1" x14ac:dyDescent="0.25">
      <c r="A15" s="778">
        <v>63</v>
      </c>
      <c r="B15" s="763" t="s">
        <v>721</v>
      </c>
      <c r="C15" s="764" t="s">
        <v>722</v>
      </c>
      <c r="D15" s="765">
        <f>+COUNTIF(C:C,C:C)</f>
        <v>1</v>
      </c>
      <c r="E15" s="766" t="s">
        <v>1287</v>
      </c>
      <c r="F15" s="766">
        <v>80093330</v>
      </c>
      <c r="G15" s="766" t="s">
        <v>1299</v>
      </c>
      <c r="H15" s="767">
        <v>43109</v>
      </c>
      <c r="I15" s="768" t="s">
        <v>723</v>
      </c>
      <c r="J15" s="769" t="s">
        <v>61</v>
      </c>
      <c r="K15" s="769" t="s">
        <v>683</v>
      </c>
      <c r="L15" s="770" t="s">
        <v>1338</v>
      </c>
      <c r="M15" s="770">
        <v>55000000</v>
      </c>
      <c r="N15" s="771"/>
      <c r="O15" s="770">
        <f t="shared" si="4"/>
        <v>55000000</v>
      </c>
      <c r="P15" s="768" t="s">
        <v>724</v>
      </c>
      <c r="Q15" s="769" t="s">
        <v>1339</v>
      </c>
      <c r="R15" s="769" t="s">
        <v>1291</v>
      </c>
      <c r="S15" s="769" t="s">
        <v>88</v>
      </c>
      <c r="T15" s="769" t="s">
        <v>1340</v>
      </c>
      <c r="U15" s="769" t="s">
        <v>36</v>
      </c>
      <c r="V15" s="769" t="s">
        <v>36</v>
      </c>
      <c r="W15" s="769" t="s">
        <v>36</v>
      </c>
      <c r="X15" s="768" t="s">
        <v>704</v>
      </c>
      <c r="Y15" s="767">
        <v>43111</v>
      </c>
      <c r="Z15" s="767">
        <v>43261</v>
      </c>
      <c r="AA15" s="772">
        <f t="shared" si="0"/>
        <v>150</v>
      </c>
      <c r="AB15" s="768" t="s">
        <v>148</v>
      </c>
      <c r="AC15" s="767">
        <f t="shared" si="1"/>
        <v>43261</v>
      </c>
      <c r="AD15" s="769" t="s">
        <v>1313</v>
      </c>
      <c r="AE15" s="773" t="s">
        <v>693</v>
      </c>
      <c r="AF15" s="773" t="s">
        <v>710</v>
      </c>
      <c r="AG15" s="779"/>
      <c r="AH15" s="769"/>
      <c r="AI15" s="769"/>
      <c r="AJ15" s="774">
        <f t="shared" ca="1" si="3"/>
        <v>32.666666666666664</v>
      </c>
      <c r="AK15" s="775"/>
      <c r="AL15" s="776" t="str">
        <f t="shared" si="2"/>
        <v xml:space="preserve">2718 </v>
      </c>
    </row>
    <row r="16" spans="1:99" ht="177" customHeight="1" x14ac:dyDescent="0.25">
      <c r="A16" s="778">
        <v>109</v>
      </c>
      <c r="B16" s="763" t="s">
        <v>902</v>
      </c>
      <c r="C16" s="764" t="s">
        <v>903</v>
      </c>
      <c r="D16" s="765">
        <f>+COUNTIF(C:C,C:C)</f>
        <v>1</v>
      </c>
      <c r="E16" s="766" t="s">
        <v>1287</v>
      </c>
      <c r="F16" s="766">
        <v>1032435416</v>
      </c>
      <c r="G16" s="766" t="s">
        <v>1288</v>
      </c>
      <c r="H16" s="767">
        <v>43109</v>
      </c>
      <c r="I16" s="768" t="s">
        <v>904</v>
      </c>
      <c r="J16" s="769" t="s">
        <v>61</v>
      </c>
      <c r="K16" s="769" t="s">
        <v>683</v>
      </c>
      <c r="L16" s="770" t="s">
        <v>1296</v>
      </c>
      <c r="M16" s="770">
        <v>21200000</v>
      </c>
      <c r="N16" s="771"/>
      <c r="O16" s="770">
        <f t="shared" si="4"/>
        <v>21200000</v>
      </c>
      <c r="P16" s="768" t="s">
        <v>899</v>
      </c>
      <c r="Q16" s="769" t="s">
        <v>1341</v>
      </c>
      <c r="R16" s="769" t="s">
        <v>422</v>
      </c>
      <c r="S16" s="769" t="s">
        <v>88</v>
      </c>
      <c r="T16" s="769" t="s">
        <v>1342</v>
      </c>
      <c r="U16" s="769" t="s">
        <v>36</v>
      </c>
      <c r="V16" s="769" t="s">
        <v>36</v>
      </c>
      <c r="W16" s="769" t="s">
        <v>36</v>
      </c>
      <c r="X16" s="768" t="s">
        <v>704</v>
      </c>
      <c r="Y16" s="767">
        <v>43109</v>
      </c>
      <c r="Z16" s="767">
        <v>43259</v>
      </c>
      <c r="AA16" s="772">
        <f t="shared" si="0"/>
        <v>150</v>
      </c>
      <c r="AB16" s="768" t="s">
        <v>148</v>
      </c>
      <c r="AC16" s="767">
        <f t="shared" si="1"/>
        <v>43259</v>
      </c>
      <c r="AD16" s="769" t="s">
        <v>900</v>
      </c>
      <c r="AE16" s="773" t="s">
        <v>901</v>
      </c>
      <c r="AF16" s="773"/>
      <c r="AG16" s="779"/>
      <c r="AH16" s="769"/>
      <c r="AI16" s="769"/>
      <c r="AJ16" s="774">
        <f t="shared" ca="1" si="3"/>
        <v>34</v>
      </c>
      <c r="AK16" s="775"/>
      <c r="AL16" s="776" t="str">
        <f t="shared" si="2"/>
        <v xml:space="preserve">5718 </v>
      </c>
    </row>
    <row r="17" spans="1:38" ht="170.25" customHeight="1" x14ac:dyDescent="0.25">
      <c r="A17" s="778">
        <v>110</v>
      </c>
      <c r="B17" s="763" t="s">
        <v>905</v>
      </c>
      <c r="C17" s="764" t="s">
        <v>906</v>
      </c>
      <c r="D17" s="765">
        <f>+COUNTIF(C:C,C:C)</f>
        <v>1</v>
      </c>
      <c r="E17" s="766" t="s">
        <v>1287</v>
      </c>
      <c r="F17" s="766">
        <v>88030314</v>
      </c>
      <c r="G17" s="766" t="s">
        <v>1299</v>
      </c>
      <c r="H17" s="767">
        <v>43109</v>
      </c>
      <c r="I17" s="768" t="s">
        <v>907</v>
      </c>
      <c r="J17" s="769" t="s">
        <v>61</v>
      </c>
      <c r="K17" s="769" t="s">
        <v>683</v>
      </c>
      <c r="L17" s="770" t="s">
        <v>1343</v>
      </c>
      <c r="M17" s="770">
        <v>35000000</v>
      </c>
      <c r="N17" s="771"/>
      <c r="O17" s="770">
        <f t="shared" si="4"/>
        <v>35000000</v>
      </c>
      <c r="P17" s="768" t="s">
        <v>908</v>
      </c>
      <c r="Q17" s="769" t="s">
        <v>1344</v>
      </c>
      <c r="R17" s="769" t="s">
        <v>422</v>
      </c>
      <c r="S17" s="769" t="s">
        <v>88</v>
      </c>
      <c r="T17" s="782" t="s">
        <v>1345</v>
      </c>
      <c r="U17" s="769" t="s">
        <v>36</v>
      </c>
      <c r="V17" s="769" t="s">
        <v>36</v>
      </c>
      <c r="W17" s="769" t="s">
        <v>36</v>
      </c>
      <c r="X17" s="768" t="s">
        <v>704</v>
      </c>
      <c r="Y17" s="767">
        <v>43115</v>
      </c>
      <c r="Z17" s="767">
        <v>43265</v>
      </c>
      <c r="AA17" s="772">
        <f t="shared" si="0"/>
        <v>150</v>
      </c>
      <c r="AB17" s="768" t="s">
        <v>148</v>
      </c>
      <c r="AC17" s="767">
        <f t="shared" si="1"/>
        <v>43265</v>
      </c>
      <c r="AD17" s="769" t="s">
        <v>909</v>
      </c>
      <c r="AE17" s="773" t="s">
        <v>901</v>
      </c>
      <c r="AF17" s="773"/>
      <c r="AG17" s="779"/>
      <c r="AH17" s="769"/>
      <c r="AI17" s="769"/>
      <c r="AJ17" s="774">
        <f t="shared" ca="1" si="3"/>
        <v>30</v>
      </c>
      <c r="AK17" s="775"/>
      <c r="AL17" s="776" t="str">
        <f t="shared" si="2"/>
        <v xml:space="preserve">6818 </v>
      </c>
    </row>
    <row r="18" spans="1:38" ht="170.25" customHeight="1" x14ac:dyDescent="0.25">
      <c r="A18" s="778">
        <v>111</v>
      </c>
      <c r="B18" s="763" t="s">
        <v>910</v>
      </c>
      <c r="C18" s="764" t="s">
        <v>243</v>
      </c>
      <c r="D18" s="765">
        <f>+COUNTIF(C:C,C:C)</f>
        <v>1</v>
      </c>
      <c r="E18" s="766" t="s">
        <v>1287</v>
      </c>
      <c r="F18" s="766">
        <v>1032364003</v>
      </c>
      <c r="G18" s="766" t="s">
        <v>1288</v>
      </c>
      <c r="H18" s="767">
        <v>43109</v>
      </c>
      <c r="I18" s="768" t="s">
        <v>911</v>
      </c>
      <c r="J18" s="769" t="s">
        <v>61</v>
      </c>
      <c r="K18" s="769" t="s">
        <v>683</v>
      </c>
      <c r="L18" s="770" t="s">
        <v>1346</v>
      </c>
      <c r="M18" s="770">
        <v>32550000</v>
      </c>
      <c r="N18" s="771"/>
      <c r="O18" s="770">
        <f t="shared" si="4"/>
        <v>32550000</v>
      </c>
      <c r="P18" s="768" t="s">
        <v>912</v>
      </c>
      <c r="Q18" s="769" t="s">
        <v>1347</v>
      </c>
      <c r="R18" s="769" t="s">
        <v>422</v>
      </c>
      <c r="S18" s="769" t="s">
        <v>88</v>
      </c>
      <c r="T18" s="782" t="s">
        <v>1348</v>
      </c>
      <c r="U18" s="769" t="s">
        <v>36</v>
      </c>
      <c r="V18" s="769" t="s">
        <v>36</v>
      </c>
      <c r="W18" s="769" t="s">
        <v>36</v>
      </c>
      <c r="X18" s="768" t="s">
        <v>704</v>
      </c>
      <c r="Y18" s="767">
        <v>43109</v>
      </c>
      <c r="Z18" s="767">
        <v>43259</v>
      </c>
      <c r="AA18" s="772">
        <f t="shared" si="0"/>
        <v>150</v>
      </c>
      <c r="AB18" s="768" t="s">
        <v>148</v>
      </c>
      <c r="AC18" s="767">
        <f t="shared" si="1"/>
        <v>43259</v>
      </c>
      <c r="AD18" s="769" t="s">
        <v>913</v>
      </c>
      <c r="AE18" s="773" t="s">
        <v>901</v>
      </c>
      <c r="AF18" s="773"/>
      <c r="AG18" s="779"/>
      <c r="AH18" s="769"/>
      <c r="AI18" s="769"/>
      <c r="AJ18" s="774">
        <f t="shared" ca="1" si="3"/>
        <v>34</v>
      </c>
      <c r="AK18" s="775"/>
      <c r="AL18" s="776" t="str">
        <f t="shared" si="2"/>
        <v xml:space="preserve">6918 </v>
      </c>
    </row>
    <row r="19" spans="1:38" ht="170.25" customHeight="1" x14ac:dyDescent="0.25">
      <c r="A19" s="778">
        <v>53</v>
      </c>
      <c r="B19" s="763" t="s">
        <v>701</v>
      </c>
      <c r="C19" s="764" t="s">
        <v>249</v>
      </c>
      <c r="D19" s="765">
        <f>+COUNTIF(C:C,C:C)</f>
        <v>1</v>
      </c>
      <c r="E19" s="766" t="s">
        <v>1287</v>
      </c>
      <c r="F19" s="766">
        <v>52186009</v>
      </c>
      <c r="G19" s="766" t="s">
        <v>1288</v>
      </c>
      <c r="H19" s="767">
        <v>43109</v>
      </c>
      <c r="I19" s="768" t="s">
        <v>702</v>
      </c>
      <c r="J19" s="769" t="s">
        <v>61</v>
      </c>
      <c r="K19" s="769" t="s">
        <v>683</v>
      </c>
      <c r="L19" s="770" t="s">
        <v>1349</v>
      </c>
      <c r="M19" s="770">
        <v>25040000</v>
      </c>
      <c r="N19" s="771"/>
      <c r="O19" s="770">
        <f t="shared" si="4"/>
        <v>25040000</v>
      </c>
      <c r="P19" s="768" t="s">
        <v>703</v>
      </c>
      <c r="Q19" s="769" t="s">
        <v>1350</v>
      </c>
      <c r="R19" s="769" t="s">
        <v>1291</v>
      </c>
      <c r="S19" s="769" t="s">
        <v>88</v>
      </c>
      <c r="T19" s="782" t="s">
        <v>1351</v>
      </c>
      <c r="U19" s="769" t="s">
        <v>36</v>
      </c>
      <c r="V19" s="769" t="s">
        <v>36</v>
      </c>
      <c r="W19" s="769" t="s">
        <v>36</v>
      </c>
      <c r="X19" s="768" t="s">
        <v>704</v>
      </c>
      <c r="Y19" s="767">
        <v>43110</v>
      </c>
      <c r="Z19" s="767">
        <v>43260</v>
      </c>
      <c r="AA19" s="772">
        <f t="shared" si="0"/>
        <v>150</v>
      </c>
      <c r="AB19" s="768" t="s">
        <v>148</v>
      </c>
      <c r="AC19" s="767">
        <f t="shared" si="1"/>
        <v>43260</v>
      </c>
      <c r="AD19" s="769" t="s">
        <v>705</v>
      </c>
      <c r="AE19" s="773" t="s">
        <v>235</v>
      </c>
      <c r="AF19" s="773"/>
      <c r="AG19" s="779"/>
      <c r="AH19" s="769"/>
      <c r="AI19" s="769"/>
      <c r="AJ19" s="774">
        <f t="shared" ca="1" si="3"/>
        <v>33.333333333333329</v>
      </c>
      <c r="AK19" s="775"/>
      <c r="AL19" s="776" t="str">
        <f t="shared" si="2"/>
        <v xml:space="preserve">2318 </v>
      </c>
    </row>
    <row r="20" spans="1:38" ht="170.25" customHeight="1" x14ac:dyDescent="0.25">
      <c r="A20" s="778">
        <v>114</v>
      </c>
      <c r="B20" s="763" t="s">
        <v>921</v>
      </c>
      <c r="C20" s="764" t="s">
        <v>307</v>
      </c>
      <c r="D20" s="765">
        <f>+COUNTIF(C:C,C:C)</f>
        <v>1</v>
      </c>
      <c r="E20" s="766" t="s">
        <v>1287</v>
      </c>
      <c r="F20" s="766">
        <v>1106890789</v>
      </c>
      <c r="G20" s="766" t="s">
        <v>1299</v>
      </c>
      <c r="H20" s="767">
        <v>43109</v>
      </c>
      <c r="I20" s="768" t="s">
        <v>922</v>
      </c>
      <c r="J20" s="769" t="s">
        <v>61</v>
      </c>
      <c r="K20" s="769" t="s">
        <v>683</v>
      </c>
      <c r="L20" s="770" t="s">
        <v>1352</v>
      </c>
      <c r="M20" s="770">
        <v>18020000</v>
      </c>
      <c r="N20" s="771"/>
      <c r="O20" s="770">
        <f t="shared" si="4"/>
        <v>18020000</v>
      </c>
      <c r="P20" s="768" t="s">
        <v>1353</v>
      </c>
      <c r="Q20" s="769" t="s">
        <v>1354</v>
      </c>
      <c r="R20" s="769" t="s">
        <v>1291</v>
      </c>
      <c r="S20" s="769" t="s">
        <v>88</v>
      </c>
      <c r="T20" s="782" t="s">
        <v>1355</v>
      </c>
      <c r="U20" s="769" t="s">
        <v>36</v>
      </c>
      <c r="V20" s="769" t="s">
        <v>36</v>
      </c>
      <c r="W20" s="769" t="s">
        <v>36</v>
      </c>
      <c r="X20" s="768" t="s">
        <v>704</v>
      </c>
      <c r="Y20" s="767">
        <v>43110</v>
      </c>
      <c r="Z20" s="767">
        <v>43260</v>
      </c>
      <c r="AA20" s="772">
        <f t="shared" si="0"/>
        <v>150</v>
      </c>
      <c r="AB20" s="768" t="s">
        <v>148</v>
      </c>
      <c r="AC20" s="767">
        <f t="shared" si="1"/>
        <v>43260</v>
      </c>
      <c r="AD20" s="769" t="s">
        <v>705</v>
      </c>
      <c r="AE20" s="773" t="s">
        <v>235</v>
      </c>
      <c r="AF20" s="773"/>
      <c r="AG20" s="779"/>
      <c r="AH20" s="769"/>
      <c r="AI20" s="769"/>
      <c r="AJ20" s="774">
        <f t="shared" ca="1" si="3"/>
        <v>33.333333333333329</v>
      </c>
      <c r="AK20" s="775"/>
      <c r="AL20" s="776" t="str">
        <f t="shared" si="2"/>
        <v xml:space="preserve">7218 </v>
      </c>
    </row>
    <row r="21" spans="1:38" ht="170.25" customHeight="1" x14ac:dyDescent="0.25">
      <c r="A21" s="778">
        <v>64</v>
      </c>
      <c r="B21" s="763" t="s">
        <v>725</v>
      </c>
      <c r="C21" s="764" t="s">
        <v>726</v>
      </c>
      <c r="D21" s="765">
        <f>+COUNTIF(C:C,C:C)</f>
        <v>1</v>
      </c>
      <c r="E21" s="766" t="s">
        <v>1287</v>
      </c>
      <c r="F21" s="766">
        <v>1020746304</v>
      </c>
      <c r="G21" s="766" t="s">
        <v>1288</v>
      </c>
      <c r="H21" s="767">
        <v>43109</v>
      </c>
      <c r="I21" s="768" t="s">
        <v>727</v>
      </c>
      <c r="J21" s="769" t="s">
        <v>61</v>
      </c>
      <c r="K21" s="769" t="s">
        <v>683</v>
      </c>
      <c r="L21" s="770" t="s">
        <v>1310</v>
      </c>
      <c r="M21" s="770">
        <v>19475000</v>
      </c>
      <c r="N21" s="771"/>
      <c r="O21" s="770">
        <f t="shared" si="4"/>
        <v>19475000</v>
      </c>
      <c r="P21" s="768" t="s">
        <v>728</v>
      </c>
      <c r="Q21" s="769" t="s">
        <v>1356</v>
      </c>
      <c r="R21" s="769" t="s">
        <v>1291</v>
      </c>
      <c r="S21" s="769" t="s">
        <v>88</v>
      </c>
      <c r="T21" s="782" t="s">
        <v>1357</v>
      </c>
      <c r="U21" s="769" t="s">
        <v>36</v>
      </c>
      <c r="V21" s="769" t="s">
        <v>36</v>
      </c>
      <c r="W21" s="769" t="s">
        <v>36</v>
      </c>
      <c r="X21" s="768" t="s">
        <v>704</v>
      </c>
      <c r="Y21" s="767">
        <v>43115</v>
      </c>
      <c r="Z21" s="767">
        <v>43265</v>
      </c>
      <c r="AA21" s="772">
        <f t="shared" si="0"/>
        <v>150</v>
      </c>
      <c r="AB21" s="768" t="s">
        <v>148</v>
      </c>
      <c r="AC21" s="767">
        <f t="shared" si="1"/>
        <v>43265</v>
      </c>
      <c r="AD21" s="769" t="s">
        <v>1326</v>
      </c>
      <c r="AE21" s="773" t="s">
        <v>693</v>
      </c>
      <c r="AF21" s="773" t="s">
        <v>710</v>
      </c>
      <c r="AG21" s="779"/>
      <c r="AH21" s="769"/>
      <c r="AI21" s="769"/>
      <c r="AJ21" s="774">
        <f t="shared" ca="1" si="3"/>
        <v>30</v>
      </c>
      <c r="AK21" s="775"/>
      <c r="AL21" s="776" t="str">
        <f t="shared" si="2"/>
        <v xml:space="preserve">2818 </v>
      </c>
    </row>
    <row r="22" spans="1:38" ht="170.25" customHeight="1" x14ac:dyDescent="0.25">
      <c r="A22" s="778">
        <v>91</v>
      </c>
      <c r="B22" s="763" t="s">
        <v>835</v>
      </c>
      <c r="C22" s="764" t="s">
        <v>836</v>
      </c>
      <c r="D22" s="765">
        <f>+COUNTIF(C:C,C:C)</f>
        <v>1</v>
      </c>
      <c r="E22" s="766" t="s">
        <v>1287</v>
      </c>
      <c r="F22" s="766">
        <v>1101074338</v>
      </c>
      <c r="G22" s="766" t="s">
        <v>1288</v>
      </c>
      <c r="H22" s="767">
        <v>43109</v>
      </c>
      <c r="I22" s="768" t="s">
        <v>837</v>
      </c>
      <c r="J22" s="769" t="s">
        <v>61</v>
      </c>
      <c r="K22" s="769" t="s">
        <v>683</v>
      </c>
      <c r="L22" s="770" t="s">
        <v>1358</v>
      </c>
      <c r="M22" s="770">
        <v>24485000</v>
      </c>
      <c r="N22" s="771"/>
      <c r="O22" s="770">
        <f t="shared" si="4"/>
        <v>24485000</v>
      </c>
      <c r="P22" s="768" t="s">
        <v>838</v>
      </c>
      <c r="Q22" s="769" t="s">
        <v>1359</v>
      </c>
      <c r="R22" s="769" t="s">
        <v>422</v>
      </c>
      <c r="S22" s="769" t="s">
        <v>88</v>
      </c>
      <c r="T22" s="782" t="s">
        <v>1360</v>
      </c>
      <c r="U22" s="769" t="s">
        <v>36</v>
      </c>
      <c r="V22" s="769" t="s">
        <v>36</v>
      </c>
      <c r="W22" s="769" t="s">
        <v>36</v>
      </c>
      <c r="X22" s="768" t="s">
        <v>704</v>
      </c>
      <c r="Y22" s="767">
        <v>43109</v>
      </c>
      <c r="Z22" s="767">
        <v>43259</v>
      </c>
      <c r="AA22" s="772">
        <f t="shared" si="0"/>
        <v>150</v>
      </c>
      <c r="AB22" s="768" t="s">
        <v>148</v>
      </c>
      <c r="AC22" s="767">
        <f t="shared" si="1"/>
        <v>43259</v>
      </c>
      <c r="AD22" s="769" t="s">
        <v>839</v>
      </c>
      <c r="AE22" s="773" t="s">
        <v>840</v>
      </c>
      <c r="AF22" s="773"/>
      <c r="AG22" s="779"/>
      <c r="AH22" s="769"/>
      <c r="AI22" s="769"/>
      <c r="AJ22" s="774">
        <f t="shared" ca="1" si="3"/>
        <v>34</v>
      </c>
      <c r="AK22" s="775"/>
      <c r="AL22" s="776" t="str">
        <f t="shared" si="2"/>
        <v xml:space="preserve">5118 </v>
      </c>
    </row>
    <row r="23" spans="1:38" ht="170.25" customHeight="1" x14ac:dyDescent="0.25">
      <c r="A23" s="778">
        <v>67</v>
      </c>
      <c r="B23" s="763" t="s">
        <v>736</v>
      </c>
      <c r="C23" s="764" t="s">
        <v>737</v>
      </c>
      <c r="D23" s="765">
        <f>+COUNTIF(C:C,C:C)</f>
        <v>1</v>
      </c>
      <c r="E23" s="766" t="s">
        <v>1287</v>
      </c>
      <c r="F23" s="766">
        <v>1020744431</v>
      </c>
      <c r="G23" s="766" t="s">
        <v>1288</v>
      </c>
      <c r="H23" s="767">
        <v>43109</v>
      </c>
      <c r="I23" s="768" t="s">
        <v>738</v>
      </c>
      <c r="J23" s="769" t="s">
        <v>61</v>
      </c>
      <c r="K23" s="769" t="s">
        <v>683</v>
      </c>
      <c r="L23" s="770" t="s">
        <v>1310</v>
      </c>
      <c r="M23" s="770">
        <v>19475000</v>
      </c>
      <c r="N23" s="771"/>
      <c r="O23" s="770">
        <f t="shared" si="4"/>
        <v>19475000</v>
      </c>
      <c r="P23" s="768" t="s">
        <v>739</v>
      </c>
      <c r="Q23" s="769" t="s">
        <v>1361</v>
      </c>
      <c r="R23" s="769" t="s">
        <v>1291</v>
      </c>
      <c r="S23" s="769" t="s">
        <v>88</v>
      </c>
      <c r="T23" s="782" t="s">
        <v>1362</v>
      </c>
      <c r="U23" s="769" t="s">
        <v>36</v>
      </c>
      <c r="V23" s="769" t="s">
        <v>36</v>
      </c>
      <c r="W23" s="769" t="s">
        <v>36</v>
      </c>
      <c r="X23" s="768" t="s">
        <v>704</v>
      </c>
      <c r="Y23" s="767">
        <v>43112</v>
      </c>
      <c r="Z23" s="767">
        <v>43262</v>
      </c>
      <c r="AA23" s="772">
        <f t="shared" si="0"/>
        <v>150</v>
      </c>
      <c r="AB23" s="768" t="s">
        <v>148</v>
      </c>
      <c r="AC23" s="767">
        <f t="shared" si="1"/>
        <v>43262</v>
      </c>
      <c r="AD23" s="769" t="s">
        <v>740</v>
      </c>
      <c r="AE23" s="773" t="s">
        <v>693</v>
      </c>
      <c r="AF23" s="773"/>
      <c r="AG23" s="779"/>
      <c r="AH23" s="769"/>
      <c r="AI23" s="769"/>
      <c r="AJ23" s="774">
        <f t="shared" ca="1" si="3"/>
        <v>32</v>
      </c>
      <c r="AK23" s="775"/>
      <c r="AL23" s="776" t="str">
        <f t="shared" si="2"/>
        <v xml:space="preserve">3118 </v>
      </c>
    </row>
    <row r="24" spans="1:38" ht="170.25" customHeight="1" x14ac:dyDescent="0.25">
      <c r="A24" s="778">
        <v>115</v>
      </c>
      <c r="B24" s="763" t="s">
        <v>923</v>
      </c>
      <c r="C24" s="764" t="s">
        <v>924</v>
      </c>
      <c r="D24" s="765">
        <f>+COUNTIF(C:C,C:C)</f>
        <v>1</v>
      </c>
      <c r="E24" s="766" t="s">
        <v>1287</v>
      </c>
      <c r="F24" s="766">
        <v>1022345901</v>
      </c>
      <c r="G24" s="766" t="s">
        <v>1288</v>
      </c>
      <c r="H24" s="767">
        <v>43109</v>
      </c>
      <c r="I24" s="768" t="s">
        <v>925</v>
      </c>
      <c r="J24" s="769" t="s">
        <v>61</v>
      </c>
      <c r="K24" s="769" t="s">
        <v>683</v>
      </c>
      <c r="L24" s="770" t="s">
        <v>1363</v>
      </c>
      <c r="M24" s="770">
        <v>27560000</v>
      </c>
      <c r="N24" s="771"/>
      <c r="O24" s="770">
        <f t="shared" si="4"/>
        <v>27560000</v>
      </c>
      <c r="P24" s="768" t="s">
        <v>926</v>
      </c>
      <c r="Q24" s="769" t="s">
        <v>1364</v>
      </c>
      <c r="R24" s="769" t="s">
        <v>1291</v>
      </c>
      <c r="S24" s="769" t="s">
        <v>88</v>
      </c>
      <c r="T24" s="782" t="s">
        <v>1365</v>
      </c>
      <c r="U24" s="769" t="s">
        <v>36</v>
      </c>
      <c r="V24" s="769" t="s">
        <v>36</v>
      </c>
      <c r="W24" s="769" t="s">
        <v>36</v>
      </c>
      <c r="X24" s="768" t="s">
        <v>704</v>
      </c>
      <c r="Y24" s="767">
        <v>43111</v>
      </c>
      <c r="Z24" s="767">
        <v>43261</v>
      </c>
      <c r="AA24" s="772">
        <f t="shared" si="0"/>
        <v>150</v>
      </c>
      <c r="AB24" s="768" t="s">
        <v>148</v>
      </c>
      <c r="AC24" s="767">
        <f t="shared" si="1"/>
        <v>43261</v>
      </c>
      <c r="AD24" s="769" t="s">
        <v>714</v>
      </c>
      <c r="AE24" s="773" t="s">
        <v>235</v>
      </c>
      <c r="AF24" s="773"/>
      <c r="AG24" s="779"/>
      <c r="AH24" s="769"/>
      <c r="AI24" s="769"/>
      <c r="AJ24" s="774">
        <f t="shared" ca="1" si="3"/>
        <v>32.666666666666664</v>
      </c>
      <c r="AK24" s="775"/>
      <c r="AL24" s="776" t="str">
        <f t="shared" si="2"/>
        <v xml:space="preserve">7318 </v>
      </c>
    </row>
    <row r="25" spans="1:38" ht="181.5" customHeight="1" x14ac:dyDescent="0.25">
      <c r="A25" s="778">
        <v>97</v>
      </c>
      <c r="B25" s="763" t="s">
        <v>860</v>
      </c>
      <c r="C25" s="764" t="s">
        <v>861</v>
      </c>
      <c r="D25" s="765">
        <f>+COUNTIF(C:C,C:C)</f>
        <v>1</v>
      </c>
      <c r="E25" s="766" t="s">
        <v>1287</v>
      </c>
      <c r="F25" s="766">
        <v>1015427655</v>
      </c>
      <c r="G25" s="766" t="s">
        <v>1288</v>
      </c>
      <c r="H25" s="767">
        <v>43109</v>
      </c>
      <c r="I25" s="768" t="s">
        <v>862</v>
      </c>
      <c r="J25" s="769" t="s">
        <v>61</v>
      </c>
      <c r="K25" s="769" t="s">
        <v>683</v>
      </c>
      <c r="L25" s="770" t="s">
        <v>1310</v>
      </c>
      <c r="M25" s="770">
        <v>19475000</v>
      </c>
      <c r="N25" s="771"/>
      <c r="O25" s="770">
        <f t="shared" si="4"/>
        <v>19475000</v>
      </c>
      <c r="P25" s="768" t="s">
        <v>709</v>
      </c>
      <c r="Q25" s="769" t="s">
        <v>1341</v>
      </c>
      <c r="R25" s="769" t="s">
        <v>1291</v>
      </c>
      <c r="S25" s="769" t="s">
        <v>88</v>
      </c>
      <c r="T25" s="782" t="s">
        <v>1366</v>
      </c>
      <c r="U25" s="769" t="s">
        <v>36</v>
      </c>
      <c r="V25" s="769" t="s">
        <v>36</v>
      </c>
      <c r="W25" s="769" t="s">
        <v>36</v>
      </c>
      <c r="X25" s="768" t="s">
        <v>704</v>
      </c>
      <c r="Y25" s="767">
        <v>43109</v>
      </c>
      <c r="Z25" s="767">
        <v>43259</v>
      </c>
      <c r="AA25" s="772">
        <f t="shared" si="0"/>
        <v>150</v>
      </c>
      <c r="AB25" s="768" t="s">
        <v>148</v>
      </c>
      <c r="AC25" s="767">
        <f t="shared" si="1"/>
        <v>43259</v>
      </c>
      <c r="AD25" s="769" t="s">
        <v>863</v>
      </c>
      <c r="AE25" s="773" t="s">
        <v>854</v>
      </c>
      <c r="AF25" s="773"/>
      <c r="AG25" s="779"/>
      <c r="AH25" s="769"/>
      <c r="AI25" s="769"/>
      <c r="AJ25" s="774">
        <f t="shared" ca="1" si="3"/>
        <v>34</v>
      </c>
      <c r="AK25" s="775"/>
      <c r="AL25" s="776" t="str">
        <f t="shared" si="2"/>
        <v xml:space="preserve">5718 </v>
      </c>
    </row>
    <row r="26" spans="1:38" ht="170.25" customHeight="1" x14ac:dyDescent="0.25">
      <c r="A26" s="778">
        <v>92</v>
      </c>
      <c r="B26" s="763" t="s">
        <v>841</v>
      </c>
      <c r="C26" s="764" t="s">
        <v>842</v>
      </c>
      <c r="D26" s="765">
        <f>+COUNTIF(C:C,C:C)</f>
        <v>1</v>
      </c>
      <c r="E26" s="766" t="s">
        <v>1287</v>
      </c>
      <c r="F26" s="766">
        <v>1026273968</v>
      </c>
      <c r="G26" s="766" t="s">
        <v>1288</v>
      </c>
      <c r="H26" s="767">
        <v>43109</v>
      </c>
      <c r="I26" s="768" t="s">
        <v>843</v>
      </c>
      <c r="J26" s="769" t="s">
        <v>61</v>
      </c>
      <c r="K26" s="769" t="s">
        <v>683</v>
      </c>
      <c r="L26" s="770" t="s">
        <v>1310</v>
      </c>
      <c r="M26" s="770">
        <v>19475000</v>
      </c>
      <c r="N26" s="771"/>
      <c r="O26" s="770">
        <f t="shared" si="4"/>
        <v>19475000</v>
      </c>
      <c r="P26" s="768" t="s">
        <v>709</v>
      </c>
      <c r="Q26" s="769" t="s">
        <v>1367</v>
      </c>
      <c r="R26" s="769" t="s">
        <v>1291</v>
      </c>
      <c r="S26" s="769" t="s">
        <v>88</v>
      </c>
      <c r="T26" s="782" t="s">
        <v>1368</v>
      </c>
      <c r="U26" s="769" t="s">
        <v>36</v>
      </c>
      <c r="V26" s="769" t="s">
        <v>36</v>
      </c>
      <c r="W26" s="769" t="s">
        <v>36</v>
      </c>
      <c r="X26" s="768" t="s">
        <v>704</v>
      </c>
      <c r="Y26" s="767">
        <v>43109</v>
      </c>
      <c r="Z26" s="767">
        <v>43259</v>
      </c>
      <c r="AA26" s="772">
        <f t="shared" si="0"/>
        <v>150</v>
      </c>
      <c r="AB26" s="768" t="s">
        <v>148</v>
      </c>
      <c r="AC26" s="767">
        <f t="shared" si="1"/>
        <v>43259</v>
      </c>
      <c r="AD26" s="769" t="s">
        <v>839</v>
      </c>
      <c r="AE26" s="773" t="s">
        <v>840</v>
      </c>
      <c r="AF26" s="773"/>
      <c r="AG26" s="779"/>
      <c r="AH26" s="769"/>
      <c r="AI26" s="769"/>
      <c r="AJ26" s="774">
        <f t="shared" ca="1" si="3"/>
        <v>34</v>
      </c>
      <c r="AK26" s="775"/>
      <c r="AL26" s="776" t="str">
        <f t="shared" si="2"/>
        <v xml:space="preserve">5218 </v>
      </c>
    </row>
    <row r="27" spans="1:38" ht="170.25" customHeight="1" x14ac:dyDescent="0.25">
      <c r="A27" s="778">
        <v>99</v>
      </c>
      <c r="B27" s="763" t="s">
        <v>866</v>
      </c>
      <c r="C27" s="764" t="s">
        <v>867</v>
      </c>
      <c r="D27" s="765">
        <f>+COUNTIF(C:C,C:C)</f>
        <v>2</v>
      </c>
      <c r="E27" s="766" t="s">
        <v>1287</v>
      </c>
      <c r="F27" s="766">
        <v>52882227</v>
      </c>
      <c r="G27" s="766" t="s">
        <v>1288</v>
      </c>
      <c r="H27" s="767">
        <v>43109</v>
      </c>
      <c r="I27" s="768" t="s">
        <v>868</v>
      </c>
      <c r="J27" s="769" t="s">
        <v>61</v>
      </c>
      <c r="K27" s="769" t="s">
        <v>683</v>
      </c>
      <c r="L27" s="770" t="s">
        <v>1369</v>
      </c>
      <c r="M27" s="770">
        <v>36750000</v>
      </c>
      <c r="N27" s="771"/>
      <c r="O27" s="770">
        <f t="shared" si="4"/>
        <v>36750000</v>
      </c>
      <c r="P27" s="768" t="s">
        <v>869</v>
      </c>
      <c r="Q27" s="769" t="s">
        <v>1370</v>
      </c>
      <c r="R27" s="769" t="s">
        <v>1291</v>
      </c>
      <c r="S27" s="769" t="s">
        <v>88</v>
      </c>
      <c r="T27" s="782" t="s">
        <v>1371</v>
      </c>
      <c r="U27" s="769" t="s">
        <v>36</v>
      </c>
      <c r="V27" s="769" t="s">
        <v>36</v>
      </c>
      <c r="W27" s="769" t="s">
        <v>36</v>
      </c>
      <c r="X27" s="768" t="s">
        <v>704</v>
      </c>
      <c r="Y27" s="767">
        <v>43109</v>
      </c>
      <c r="Z27" s="767">
        <v>43259</v>
      </c>
      <c r="AA27" s="772">
        <f t="shared" si="0"/>
        <v>150</v>
      </c>
      <c r="AB27" s="768" t="s">
        <v>148</v>
      </c>
      <c r="AC27" s="767">
        <f t="shared" si="1"/>
        <v>43259</v>
      </c>
      <c r="AD27" s="769" t="s">
        <v>863</v>
      </c>
      <c r="AE27" s="773" t="s">
        <v>854</v>
      </c>
      <c r="AF27" s="773"/>
      <c r="AG27" s="780" t="s">
        <v>1318</v>
      </c>
      <c r="AH27" s="769"/>
      <c r="AI27" s="769"/>
      <c r="AJ27" s="774">
        <f t="shared" ca="1" si="3"/>
        <v>34</v>
      </c>
      <c r="AK27" s="775"/>
      <c r="AL27" s="776" t="str">
        <f t="shared" si="2"/>
        <v xml:space="preserve">5918 </v>
      </c>
    </row>
    <row r="28" spans="1:38" ht="170.25" customHeight="1" x14ac:dyDescent="0.25">
      <c r="A28" s="778">
        <v>82</v>
      </c>
      <c r="B28" s="763" t="s">
        <v>793</v>
      </c>
      <c r="C28" s="764" t="s">
        <v>794</v>
      </c>
      <c r="D28" s="765">
        <f>+COUNTIF(C:C,C:C)</f>
        <v>1</v>
      </c>
      <c r="E28" s="766" t="s">
        <v>1287</v>
      </c>
      <c r="F28" s="766">
        <v>79554836</v>
      </c>
      <c r="G28" s="766" t="s">
        <v>1299</v>
      </c>
      <c r="H28" s="767">
        <v>43109</v>
      </c>
      <c r="I28" s="768" t="s">
        <v>795</v>
      </c>
      <c r="J28" s="769" t="s">
        <v>61</v>
      </c>
      <c r="K28" s="769" t="s">
        <v>683</v>
      </c>
      <c r="L28" s="770" t="s">
        <v>1372</v>
      </c>
      <c r="M28" s="770">
        <v>43680000</v>
      </c>
      <c r="N28" s="771"/>
      <c r="O28" s="770">
        <f t="shared" si="4"/>
        <v>43680000</v>
      </c>
      <c r="P28" s="768" t="s">
        <v>796</v>
      </c>
      <c r="Q28" s="769" t="s">
        <v>1373</v>
      </c>
      <c r="R28" s="769" t="s">
        <v>1291</v>
      </c>
      <c r="S28" s="769" t="s">
        <v>88</v>
      </c>
      <c r="T28" s="769" t="s">
        <v>1374</v>
      </c>
      <c r="U28" s="769" t="s">
        <v>36</v>
      </c>
      <c r="V28" s="769" t="s">
        <v>36</v>
      </c>
      <c r="W28" s="769" t="s">
        <v>36</v>
      </c>
      <c r="X28" s="768" t="s">
        <v>704</v>
      </c>
      <c r="Y28" s="767">
        <v>43112</v>
      </c>
      <c r="Z28" s="767">
        <v>43262</v>
      </c>
      <c r="AA28" s="772">
        <f t="shared" si="0"/>
        <v>150</v>
      </c>
      <c r="AB28" s="768" t="s">
        <v>148</v>
      </c>
      <c r="AC28" s="767">
        <f t="shared" si="1"/>
        <v>43262</v>
      </c>
      <c r="AD28" s="769" t="s">
        <v>791</v>
      </c>
      <c r="AE28" s="773" t="s">
        <v>792</v>
      </c>
      <c r="AF28" s="773"/>
      <c r="AG28" s="779"/>
      <c r="AH28" s="769"/>
      <c r="AI28" s="769"/>
      <c r="AJ28" s="774">
        <f t="shared" ca="1" si="3"/>
        <v>32</v>
      </c>
      <c r="AK28" s="775"/>
      <c r="AL28" s="776" t="str">
        <f t="shared" si="2"/>
        <v xml:space="preserve">4218 </v>
      </c>
    </row>
    <row r="29" spans="1:38" ht="170.25" customHeight="1" x14ac:dyDescent="0.25">
      <c r="A29" s="778">
        <v>95</v>
      </c>
      <c r="B29" s="763" t="s">
        <v>851</v>
      </c>
      <c r="C29" s="764" t="s">
        <v>260</v>
      </c>
      <c r="D29" s="765">
        <f>+COUNTIF(C:C,C:C)</f>
        <v>1</v>
      </c>
      <c r="E29" s="766" t="s">
        <v>1287</v>
      </c>
      <c r="F29" s="766">
        <v>52222629</v>
      </c>
      <c r="G29" s="766" t="s">
        <v>1288</v>
      </c>
      <c r="H29" s="767">
        <v>43109</v>
      </c>
      <c r="I29" s="768" t="s">
        <v>852</v>
      </c>
      <c r="J29" s="769" t="s">
        <v>61</v>
      </c>
      <c r="K29" s="769" t="s">
        <v>683</v>
      </c>
      <c r="L29" s="770" t="s">
        <v>1369</v>
      </c>
      <c r="M29" s="770">
        <v>36750000</v>
      </c>
      <c r="N29" s="771"/>
      <c r="O29" s="770">
        <f t="shared" si="4"/>
        <v>36750000</v>
      </c>
      <c r="P29" s="768" t="s">
        <v>853</v>
      </c>
      <c r="Q29" s="769" t="s">
        <v>1375</v>
      </c>
      <c r="R29" s="769" t="s">
        <v>1291</v>
      </c>
      <c r="S29" s="769" t="s">
        <v>88</v>
      </c>
      <c r="T29" s="769" t="s">
        <v>1376</v>
      </c>
      <c r="U29" s="769" t="s">
        <v>36</v>
      </c>
      <c r="V29" s="769" t="s">
        <v>36</v>
      </c>
      <c r="W29" s="769" t="s">
        <v>36</v>
      </c>
      <c r="X29" s="768" t="s">
        <v>704</v>
      </c>
      <c r="Y29" s="767">
        <v>43109</v>
      </c>
      <c r="Z29" s="767">
        <v>43259</v>
      </c>
      <c r="AA29" s="772">
        <f t="shared" si="0"/>
        <v>150</v>
      </c>
      <c r="AB29" s="768" t="s">
        <v>148</v>
      </c>
      <c r="AC29" s="767">
        <f t="shared" si="1"/>
        <v>43259</v>
      </c>
      <c r="AD29" s="769" t="s">
        <v>1377</v>
      </c>
      <c r="AE29" s="773" t="s">
        <v>854</v>
      </c>
      <c r="AF29" s="773"/>
      <c r="AG29" s="779"/>
      <c r="AH29" s="769"/>
      <c r="AI29" s="769"/>
      <c r="AJ29" s="774">
        <f t="shared" ca="1" si="3"/>
        <v>34</v>
      </c>
      <c r="AK29" s="775"/>
      <c r="AL29" s="776" t="str">
        <f t="shared" si="2"/>
        <v xml:space="preserve">5518 </v>
      </c>
    </row>
    <row r="30" spans="1:38" ht="170.25" customHeight="1" x14ac:dyDescent="0.25">
      <c r="A30" s="778">
        <v>87</v>
      </c>
      <c r="B30" s="763" t="s">
        <v>817</v>
      </c>
      <c r="C30" s="764" t="s">
        <v>818</v>
      </c>
      <c r="D30" s="765">
        <f>+COUNTIF(C:C,C:C)</f>
        <v>1</v>
      </c>
      <c r="E30" s="766" t="s">
        <v>1287</v>
      </c>
      <c r="F30" s="766">
        <v>55196218</v>
      </c>
      <c r="G30" s="766" t="s">
        <v>1288</v>
      </c>
      <c r="H30" s="767">
        <v>43109</v>
      </c>
      <c r="I30" s="768" t="s">
        <v>819</v>
      </c>
      <c r="J30" s="769" t="s">
        <v>61</v>
      </c>
      <c r="K30" s="769" t="s">
        <v>683</v>
      </c>
      <c r="L30" s="770" t="s">
        <v>1349</v>
      </c>
      <c r="M30" s="770">
        <v>25040000</v>
      </c>
      <c r="N30" s="771"/>
      <c r="O30" s="770">
        <f t="shared" si="4"/>
        <v>25040000</v>
      </c>
      <c r="P30" s="768" t="s">
        <v>820</v>
      </c>
      <c r="Q30" s="769" t="s">
        <v>1378</v>
      </c>
      <c r="R30" s="769" t="s">
        <v>1305</v>
      </c>
      <c r="S30" s="769" t="s">
        <v>88</v>
      </c>
      <c r="T30" s="769" t="s">
        <v>1379</v>
      </c>
      <c r="U30" s="769" t="s">
        <v>36</v>
      </c>
      <c r="V30" s="769" t="s">
        <v>36</v>
      </c>
      <c r="W30" s="769" t="s">
        <v>36</v>
      </c>
      <c r="X30" s="768" t="s">
        <v>704</v>
      </c>
      <c r="Y30" s="767">
        <v>43110</v>
      </c>
      <c r="Z30" s="767">
        <v>43260</v>
      </c>
      <c r="AA30" s="772">
        <f t="shared" si="0"/>
        <v>150</v>
      </c>
      <c r="AB30" s="768" t="s">
        <v>148</v>
      </c>
      <c r="AC30" s="767">
        <f t="shared" si="1"/>
        <v>43260</v>
      </c>
      <c r="AD30" s="769" t="s">
        <v>815</v>
      </c>
      <c r="AE30" s="773" t="s">
        <v>816</v>
      </c>
      <c r="AF30" s="773"/>
      <c r="AG30" s="779"/>
      <c r="AH30" s="769"/>
      <c r="AI30" s="769"/>
      <c r="AJ30" s="774">
        <f t="shared" ca="1" si="3"/>
        <v>33.333333333333329</v>
      </c>
      <c r="AK30" s="775"/>
      <c r="AL30" s="776" t="str">
        <f t="shared" si="2"/>
        <v xml:space="preserve">4718 </v>
      </c>
    </row>
    <row r="31" spans="1:38" ht="170.25" customHeight="1" x14ac:dyDescent="0.25">
      <c r="A31" s="778">
        <v>69</v>
      </c>
      <c r="B31" s="763" t="s">
        <v>744</v>
      </c>
      <c r="C31" s="764" t="s">
        <v>745</v>
      </c>
      <c r="D31" s="765">
        <f>+COUNTIF(C:C,C:C)</f>
        <v>1</v>
      </c>
      <c r="E31" s="766" t="s">
        <v>1287</v>
      </c>
      <c r="F31" s="766">
        <v>51704676</v>
      </c>
      <c r="G31" s="766" t="s">
        <v>1288</v>
      </c>
      <c r="H31" s="767">
        <v>43109</v>
      </c>
      <c r="I31" s="768" t="s">
        <v>746</v>
      </c>
      <c r="J31" s="769" t="s">
        <v>61</v>
      </c>
      <c r="K31" s="769" t="s">
        <v>683</v>
      </c>
      <c r="L31" s="770" t="s">
        <v>1380</v>
      </c>
      <c r="M31" s="770">
        <v>45000000</v>
      </c>
      <c r="N31" s="771"/>
      <c r="O31" s="770">
        <f t="shared" si="4"/>
        <v>45000000</v>
      </c>
      <c r="P31" s="768" t="s">
        <v>747</v>
      </c>
      <c r="Q31" s="769" t="s">
        <v>1381</v>
      </c>
      <c r="R31" s="769" t="s">
        <v>1291</v>
      </c>
      <c r="S31" s="769" t="s">
        <v>88</v>
      </c>
      <c r="T31" s="769" t="s">
        <v>1382</v>
      </c>
      <c r="U31" s="769" t="s">
        <v>36</v>
      </c>
      <c r="V31" s="769" t="s">
        <v>36</v>
      </c>
      <c r="W31" s="769" t="s">
        <v>36</v>
      </c>
      <c r="X31" s="768" t="s">
        <v>704</v>
      </c>
      <c r="Y31" s="767">
        <v>43109</v>
      </c>
      <c r="Z31" s="767">
        <v>43259</v>
      </c>
      <c r="AA31" s="772">
        <f t="shared" si="0"/>
        <v>150</v>
      </c>
      <c r="AB31" s="768" t="s">
        <v>148</v>
      </c>
      <c r="AC31" s="767">
        <f t="shared" si="1"/>
        <v>43259</v>
      </c>
      <c r="AD31" s="769" t="s">
        <v>748</v>
      </c>
      <c r="AE31" s="773" t="s">
        <v>301</v>
      </c>
      <c r="AF31" s="773"/>
      <c r="AG31" s="779"/>
      <c r="AH31" s="769"/>
      <c r="AI31" s="769"/>
      <c r="AJ31" s="774">
        <f t="shared" ca="1" si="3"/>
        <v>34</v>
      </c>
      <c r="AK31" s="775"/>
      <c r="AL31" s="776" t="str">
        <f t="shared" si="2"/>
        <v xml:space="preserve">3318 </v>
      </c>
    </row>
    <row r="32" spans="1:38" ht="170.25" customHeight="1" x14ac:dyDescent="0.25">
      <c r="A32" s="778">
        <v>89</v>
      </c>
      <c r="B32" s="763" t="s">
        <v>825</v>
      </c>
      <c r="C32" s="764" t="s">
        <v>826</v>
      </c>
      <c r="D32" s="765">
        <f>+COUNTIF(C:C,C:C)</f>
        <v>1</v>
      </c>
      <c r="E32" s="766" t="s">
        <v>1287</v>
      </c>
      <c r="F32" s="766">
        <v>80100695</v>
      </c>
      <c r="G32" s="766" t="s">
        <v>1299</v>
      </c>
      <c r="H32" s="767">
        <v>43109</v>
      </c>
      <c r="I32" s="768" t="s">
        <v>827</v>
      </c>
      <c r="J32" s="769" t="s">
        <v>61</v>
      </c>
      <c r="K32" s="769" t="s">
        <v>683</v>
      </c>
      <c r="L32" s="770" t="s">
        <v>1383</v>
      </c>
      <c r="M32" s="770">
        <v>35830000</v>
      </c>
      <c r="N32" s="771"/>
      <c r="O32" s="770">
        <f t="shared" si="4"/>
        <v>35830000</v>
      </c>
      <c r="P32" s="768" t="s">
        <v>828</v>
      </c>
      <c r="Q32" s="769" t="s">
        <v>1384</v>
      </c>
      <c r="R32" s="769" t="s">
        <v>1305</v>
      </c>
      <c r="S32" s="769" t="s">
        <v>88</v>
      </c>
      <c r="T32" s="769" t="s">
        <v>1385</v>
      </c>
      <c r="U32" s="769" t="s">
        <v>36</v>
      </c>
      <c r="V32" s="769" t="s">
        <v>36</v>
      </c>
      <c r="W32" s="769" t="s">
        <v>36</v>
      </c>
      <c r="X32" s="768" t="s">
        <v>704</v>
      </c>
      <c r="Y32" s="767">
        <v>43110</v>
      </c>
      <c r="Z32" s="767">
        <v>43260</v>
      </c>
      <c r="AA32" s="772">
        <f t="shared" si="0"/>
        <v>150</v>
      </c>
      <c r="AB32" s="768" t="s">
        <v>148</v>
      </c>
      <c r="AC32" s="767">
        <f t="shared" si="1"/>
        <v>43260</v>
      </c>
      <c r="AD32" s="769" t="s">
        <v>815</v>
      </c>
      <c r="AE32" s="773" t="s">
        <v>816</v>
      </c>
      <c r="AF32" s="773"/>
      <c r="AG32" s="779"/>
      <c r="AH32" s="769"/>
      <c r="AI32" s="769"/>
      <c r="AJ32" s="774">
        <f t="shared" ca="1" si="3"/>
        <v>33.333333333333329</v>
      </c>
      <c r="AK32" s="775"/>
      <c r="AL32" s="776" t="str">
        <f t="shared" si="2"/>
        <v xml:space="preserve">4918 </v>
      </c>
    </row>
    <row r="33" spans="1:38" ht="170.25" customHeight="1" x14ac:dyDescent="0.25">
      <c r="A33" s="778">
        <v>88</v>
      </c>
      <c r="B33" s="763" t="s">
        <v>821</v>
      </c>
      <c r="C33" s="764" t="s">
        <v>822</v>
      </c>
      <c r="D33" s="765">
        <f>+COUNTIF(C:C,C:C)</f>
        <v>1</v>
      </c>
      <c r="E33" s="766" t="s">
        <v>1287</v>
      </c>
      <c r="F33" s="766">
        <v>52414555</v>
      </c>
      <c r="G33" s="766" t="s">
        <v>1288</v>
      </c>
      <c r="H33" s="767">
        <v>43109</v>
      </c>
      <c r="I33" s="768" t="s">
        <v>823</v>
      </c>
      <c r="J33" s="769" t="s">
        <v>61</v>
      </c>
      <c r="K33" s="769" t="s">
        <v>683</v>
      </c>
      <c r="L33" s="770" t="s">
        <v>1380</v>
      </c>
      <c r="M33" s="770">
        <v>45000000</v>
      </c>
      <c r="N33" s="771"/>
      <c r="O33" s="770">
        <f t="shared" si="4"/>
        <v>45000000</v>
      </c>
      <c r="P33" s="768" t="s">
        <v>824</v>
      </c>
      <c r="Q33" s="769" t="s">
        <v>1386</v>
      </c>
      <c r="R33" s="769" t="s">
        <v>1305</v>
      </c>
      <c r="S33" s="769" t="s">
        <v>88</v>
      </c>
      <c r="T33" s="769" t="s">
        <v>1387</v>
      </c>
      <c r="U33" s="769" t="s">
        <v>36</v>
      </c>
      <c r="V33" s="769" t="s">
        <v>36</v>
      </c>
      <c r="W33" s="769" t="s">
        <v>36</v>
      </c>
      <c r="X33" s="768" t="s">
        <v>704</v>
      </c>
      <c r="Y33" s="767">
        <v>43115</v>
      </c>
      <c r="Z33" s="767">
        <v>43265</v>
      </c>
      <c r="AA33" s="772">
        <f t="shared" si="0"/>
        <v>150</v>
      </c>
      <c r="AB33" s="768" t="s">
        <v>148</v>
      </c>
      <c r="AC33" s="767">
        <f t="shared" si="1"/>
        <v>43265</v>
      </c>
      <c r="AD33" s="769" t="s">
        <v>815</v>
      </c>
      <c r="AE33" s="773" t="s">
        <v>816</v>
      </c>
      <c r="AF33" s="773"/>
      <c r="AG33" s="779"/>
      <c r="AH33" s="769"/>
      <c r="AI33" s="769"/>
      <c r="AJ33" s="774">
        <f t="shared" ca="1" si="3"/>
        <v>30</v>
      </c>
      <c r="AK33" s="775"/>
      <c r="AL33" s="776" t="str">
        <f t="shared" si="2"/>
        <v xml:space="preserve">4818 </v>
      </c>
    </row>
    <row r="34" spans="1:38" ht="170.25" customHeight="1" x14ac:dyDescent="0.25">
      <c r="A34" s="778">
        <v>84</v>
      </c>
      <c r="B34" s="763" t="s">
        <v>801</v>
      </c>
      <c r="C34" s="764" t="s">
        <v>802</v>
      </c>
      <c r="D34" s="765">
        <f>+COUNTIF(C:C,C:C)</f>
        <v>1</v>
      </c>
      <c r="E34" s="766" t="s">
        <v>1287</v>
      </c>
      <c r="F34" s="766">
        <v>1020717232</v>
      </c>
      <c r="G34" s="766" t="s">
        <v>1288</v>
      </c>
      <c r="H34" s="767">
        <v>43109</v>
      </c>
      <c r="I34" s="768" t="s">
        <v>803</v>
      </c>
      <c r="J34" s="769" t="s">
        <v>61</v>
      </c>
      <c r="K34" s="769" t="s">
        <v>683</v>
      </c>
      <c r="L34" s="770" t="s">
        <v>1388</v>
      </c>
      <c r="M34" s="770">
        <v>30000000</v>
      </c>
      <c r="N34" s="771"/>
      <c r="O34" s="770">
        <f t="shared" si="4"/>
        <v>30000000</v>
      </c>
      <c r="P34" s="768" t="s">
        <v>804</v>
      </c>
      <c r="Q34" s="769" t="s">
        <v>1389</v>
      </c>
      <c r="R34" s="769" t="s">
        <v>1321</v>
      </c>
      <c r="S34" s="769" t="s">
        <v>88</v>
      </c>
      <c r="T34" s="769" t="s">
        <v>1390</v>
      </c>
      <c r="U34" s="769" t="s">
        <v>36</v>
      </c>
      <c r="V34" s="769" t="s">
        <v>36</v>
      </c>
      <c r="W34" s="769" t="s">
        <v>36</v>
      </c>
      <c r="X34" s="768" t="s">
        <v>805</v>
      </c>
      <c r="Y34" s="767">
        <v>43109</v>
      </c>
      <c r="Z34" s="767">
        <v>43289</v>
      </c>
      <c r="AA34" s="772">
        <f t="shared" si="0"/>
        <v>180</v>
      </c>
      <c r="AB34" s="768" t="s">
        <v>148</v>
      </c>
      <c r="AC34" s="767">
        <f t="shared" si="1"/>
        <v>43289</v>
      </c>
      <c r="AD34" s="769" t="s">
        <v>806</v>
      </c>
      <c r="AE34" s="773" t="s">
        <v>807</v>
      </c>
      <c r="AF34" s="773"/>
      <c r="AG34" s="779"/>
      <c r="AH34" s="769"/>
      <c r="AI34" s="769"/>
      <c r="AJ34" s="774">
        <f t="shared" ca="1" si="3"/>
        <v>28.333333333333332</v>
      </c>
      <c r="AK34" s="775"/>
      <c r="AL34" s="776" t="str">
        <f t="shared" si="2"/>
        <v xml:space="preserve">4418 </v>
      </c>
    </row>
    <row r="35" spans="1:38" ht="170.25" customHeight="1" x14ac:dyDescent="0.25">
      <c r="A35" s="778">
        <v>80</v>
      </c>
      <c r="B35" s="763" t="s">
        <v>787</v>
      </c>
      <c r="C35" s="764" t="s">
        <v>788</v>
      </c>
      <c r="D35" s="765">
        <f>+COUNTIF(C:C,C:C)</f>
        <v>1</v>
      </c>
      <c r="E35" s="766" t="s">
        <v>1287</v>
      </c>
      <c r="F35" s="766">
        <v>13542736</v>
      </c>
      <c r="G35" s="766" t="s">
        <v>1299</v>
      </c>
      <c r="H35" s="767">
        <v>43109</v>
      </c>
      <c r="I35" s="768" t="s">
        <v>789</v>
      </c>
      <c r="J35" s="769" t="s">
        <v>61</v>
      </c>
      <c r="K35" s="769" t="s">
        <v>683</v>
      </c>
      <c r="L35" s="770" t="s">
        <v>1391</v>
      </c>
      <c r="M35" s="770">
        <v>31500000</v>
      </c>
      <c r="N35" s="771"/>
      <c r="O35" s="770">
        <f t="shared" si="4"/>
        <v>31500000</v>
      </c>
      <c r="P35" s="768" t="s">
        <v>790</v>
      </c>
      <c r="Q35" s="769" t="s">
        <v>1392</v>
      </c>
      <c r="R35" s="769" t="s">
        <v>1291</v>
      </c>
      <c r="S35" s="769" t="s">
        <v>88</v>
      </c>
      <c r="T35" s="769" t="s">
        <v>1393</v>
      </c>
      <c r="U35" s="769" t="s">
        <v>36</v>
      </c>
      <c r="V35" s="769" t="s">
        <v>36</v>
      </c>
      <c r="W35" s="769" t="s">
        <v>36</v>
      </c>
      <c r="X35" s="768" t="s">
        <v>704</v>
      </c>
      <c r="Y35" s="767">
        <v>43111</v>
      </c>
      <c r="Z35" s="767">
        <v>43261</v>
      </c>
      <c r="AA35" s="772">
        <f t="shared" si="0"/>
        <v>150</v>
      </c>
      <c r="AB35" s="768" t="s">
        <v>148</v>
      </c>
      <c r="AC35" s="767">
        <f t="shared" si="1"/>
        <v>43261</v>
      </c>
      <c r="AD35" s="769" t="s">
        <v>791</v>
      </c>
      <c r="AE35" s="773" t="s">
        <v>792</v>
      </c>
      <c r="AF35" s="773"/>
      <c r="AG35" s="779"/>
      <c r="AH35" s="769"/>
      <c r="AI35" s="769"/>
      <c r="AJ35" s="774">
        <f t="shared" ca="1" si="3"/>
        <v>32.666666666666664</v>
      </c>
      <c r="AK35" s="775"/>
      <c r="AL35" s="776" t="str">
        <f t="shared" si="2"/>
        <v xml:space="preserve">4118 </v>
      </c>
    </row>
    <row r="36" spans="1:38" ht="170.25" customHeight="1" x14ac:dyDescent="0.25">
      <c r="A36" s="778">
        <v>93</v>
      </c>
      <c r="B36" s="763" t="s">
        <v>844</v>
      </c>
      <c r="C36" s="764" t="s">
        <v>845</v>
      </c>
      <c r="D36" s="765">
        <f>+COUNTIF(C:C,C:C)</f>
        <v>1</v>
      </c>
      <c r="E36" s="766" t="s">
        <v>1287</v>
      </c>
      <c r="F36" s="766">
        <v>52807271</v>
      </c>
      <c r="G36" s="766" t="s">
        <v>1288</v>
      </c>
      <c r="H36" s="767">
        <v>43109</v>
      </c>
      <c r="I36" s="768" t="s">
        <v>846</v>
      </c>
      <c r="J36" s="769" t="s">
        <v>61</v>
      </c>
      <c r="K36" s="769" t="s">
        <v>683</v>
      </c>
      <c r="L36" s="770" t="s">
        <v>1289</v>
      </c>
      <c r="M36" s="770">
        <v>25000000</v>
      </c>
      <c r="N36" s="771"/>
      <c r="O36" s="770">
        <f t="shared" si="4"/>
        <v>25000000</v>
      </c>
      <c r="P36" s="768" t="s">
        <v>847</v>
      </c>
      <c r="Q36" s="769" t="s">
        <v>1394</v>
      </c>
      <c r="R36" s="769" t="s">
        <v>1291</v>
      </c>
      <c r="S36" s="769" t="s">
        <v>88</v>
      </c>
      <c r="T36" s="769" t="s">
        <v>1340</v>
      </c>
      <c r="U36" s="769" t="s">
        <v>36</v>
      </c>
      <c r="V36" s="769" t="s">
        <v>36</v>
      </c>
      <c r="W36" s="769" t="s">
        <v>36</v>
      </c>
      <c r="X36" s="768" t="s">
        <v>704</v>
      </c>
      <c r="Y36" s="767">
        <v>43111</v>
      </c>
      <c r="Z36" s="767">
        <v>43261</v>
      </c>
      <c r="AA36" s="772">
        <f t="shared" si="0"/>
        <v>150</v>
      </c>
      <c r="AB36" s="768" t="s">
        <v>148</v>
      </c>
      <c r="AC36" s="767">
        <f t="shared" si="1"/>
        <v>43261</v>
      </c>
      <c r="AD36" s="769" t="s">
        <v>848</v>
      </c>
      <c r="AE36" s="773" t="s">
        <v>849</v>
      </c>
      <c r="AF36" s="773"/>
      <c r="AG36" s="779"/>
      <c r="AH36" s="769"/>
      <c r="AI36" s="769"/>
      <c r="AJ36" s="774">
        <f t="shared" ca="1" si="3"/>
        <v>32.666666666666664</v>
      </c>
      <c r="AK36" s="775"/>
      <c r="AL36" s="776" t="str">
        <f t="shared" si="2"/>
        <v xml:space="preserve">5318 </v>
      </c>
    </row>
    <row r="37" spans="1:38" ht="170.25" customHeight="1" x14ac:dyDescent="0.25">
      <c r="A37" s="778">
        <v>98</v>
      </c>
      <c r="B37" s="763" t="s">
        <v>864</v>
      </c>
      <c r="C37" s="764" t="s">
        <v>279</v>
      </c>
      <c r="D37" s="765">
        <f>+COUNTIF(C:C,C:C)</f>
        <v>1</v>
      </c>
      <c r="E37" s="766" t="s">
        <v>1287</v>
      </c>
      <c r="F37" s="766">
        <v>80871756</v>
      </c>
      <c r="G37" s="766" t="s">
        <v>1299</v>
      </c>
      <c r="H37" s="767">
        <v>43109</v>
      </c>
      <c r="I37" s="768" t="s">
        <v>865</v>
      </c>
      <c r="J37" s="769" t="s">
        <v>61</v>
      </c>
      <c r="K37" s="769" t="s">
        <v>683</v>
      </c>
      <c r="L37" s="770" t="s">
        <v>1369</v>
      </c>
      <c r="M37" s="770">
        <v>36750000</v>
      </c>
      <c r="N37" s="771"/>
      <c r="O37" s="770">
        <f t="shared" si="4"/>
        <v>36750000</v>
      </c>
      <c r="P37" s="768" t="s">
        <v>853</v>
      </c>
      <c r="Q37" s="769" t="s">
        <v>1395</v>
      </c>
      <c r="R37" s="769" t="s">
        <v>1291</v>
      </c>
      <c r="S37" s="769" t="s">
        <v>88</v>
      </c>
      <c r="T37" s="769" t="s">
        <v>1396</v>
      </c>
      <c r="U37" s="769" t="s">
        <v>36</v>
      </c>
      <c r="V37" s="769" t="s">
        <v>36</v>
      </c>
      <c r="W37" s="769" t="s">
        <v>36</v>
      </c>
      <c r="X37" s="768" t="s">
        <v>704</v>
      </c>
      <c r="Y37" s="767">
        <v>43109</v>
      </c>
      <c r="Z37" s="767">
        <v>43259</v>
      </c>
      <c r="AA37" s="772">
        <f t="shared" si="0"/>
        <v>150</v>
      </c>
      <c r="AB37" s="768" t="s">
        <v>148</v>
      </c>
      <c r="AC37" s="767">
        <f t="shared" si="1"/>
        <v>43259</v>
      </c>
      <c r="AD37" s="769" t="s">
        <v>748</v>
      </c>
      <c r="AE37" s="773" t="s">
        <v>301</v>
      </c>
      <c r="AF37" s="773"/>
      <c r="AG37" s="779"/>
      <c r="AH37" s="769"/>
      <c r="AI37" s="769"/>
      <c r="AJ37" s="774">
        <f t="shared" ca="1" si="3"/>
        <v>34</v>
      </c>
      <c r="AK37" s="775"/>
      <c r="AL37" s="776" t="str">
        <f t="shared" si="2"/>
        <v xml:space="preserve">5818 </v>
      </c>
    </row>
    <row r="38" spans="1:38" ht="170.25" customHeight="1" x14ac:dyDescent="0.25">
      <c r="A38" s="778">
        <v>94</v>
      </c>
      <c r="B38" s="763" t="s">
        <v>850</v>
      </c>
      <c r="C38" s="764" t="s">
        <v>273</v>
      </c>
      <c r="D38" s="765">
        <f>+COUNTIF(C:C,C:C)</f>
        <v>1</v>
      </c>
      <c r="E38" s="766" t="s">
        <v>1287</v>
      </c>
      <c r="F38" s="766">
        <v>1023872191</v>
      </c>
      <c r="G38" s="766" t="s">
        <v>1299</v>
      </c>
      <c r="H38" s="767">
        <v>43109</v>
      </c>
      <c r="I38" s="768" t="s">
        <v>846</v>
      </c>
      <c r="J38" s="769" t="s">
        <v>61</v>
      </c>
      <c r="K38" s="769" t="s">
        <v>683</v>
      </c>
      <c r="L38" s="770" t="s">
        <v>1289</v>
      </c>
      <c r="M38" s="770">
        <v>25000000</v>
      </c>
      <c r="N38" s="771"/>
      <c r="O38" s="770">
        <f t="shared" si="4"/>
        <v>25000000</v>
      </c>
      <c r="P38" s="768" t="s">
        <v>847</v>
      </c>
      <c r="Q38" s="769" t="s">
        <v>1397</v>
      </c>
      <c r="R38" s="769" t="s">
        <v>1291</v>
      </c>
      <c r="S38" s="769" t="s">
        <v>88</v>
      </c>
      <c r="T38" s="769" t="s">
        <v>1398</v>
      </c>
      <c r="U38" s="769" t="s">
        <v>36</v>
      </c>
      <c r="V38" s="769" t="s">
        <v>36</v>
      </c>
      <c r="W38" s="769" t="s">
        <v>36</v>
      </c>
      <c r="X38" s="768" t="s">
        <v>704</v>
      </c>
      <c r="Y38" s="767">
        <v>43111</v>
      </c>
      <c r="Z38" s="767">
        <v>43261</v>
      </c>
      <c r="AA38" s="772">
        <f t="shared" si="0"/>
        <v>150</v>
      </c>
      <c r="AB38" s="768" t="s">
        <v>148</v>
      </c>
      <c r="AC38" s="767">
        <f t="shared" si="1"/>
        <v>43261</v>
      </c>
      <c r="AD38" s="769" t="s">
        <v>1063</v>
      </c>
      <c r="AE38" s="773" t="s">
        <v>849</v>
      </c>
      <c r="AF38" s="773"/>
      <c r="AG38" s="779"/>
      <c r="AH38" s="769"/>
      <c r="AI38" s="769"/>
      <c r="AJ38" s="774">
        <f t="shared" ca="1" si="3"/>
        <v>32.666666666666664</v>
      </c>
      <c r="AK38" s="775"/>
      <c r="AL38" s="776" t="str">
        <f t="shared" si="2"/>
        <v xml:space="preserve">5418 </v>
      </c>
    </row>
    <row r="39" spans="1:38" ht="170.25" customHeight="1" x14ac:dyDescent="0.25">
      <c r="A39" s="778">
        <v>58</v>
      </c>
      <c r="B39" s="763" t="s">
        <v>711</v>
      </c>
      <c r="C39" s="764" t="s">
        <v>257</v>
      </c>
      <c r="D39" s="765">
        <f>+COUNTIF(C:C,C:C)</f>
        <v>1</v>
      </c>
      <c r="E39" s="766" t="s">
        <v>1287</v>
      </c>
      <c r="F39" s="766">
        <v>53165879</v>
      </c>
      <c r="G39" s="766" t="s">
        <v>1288</v>
      </c>
      <c r="H39" s="767">
        <v>43109</v>
      </c>
      <c r="I39" s="768" t="s">
        <v>712</v>
      </c>
      <c r="J39" s="769" t="s">
        <v>61</v>
      </c>
      <c r="K39" s="769" t="s">
        <v>683</v>
      </c>
      <c r="L39" s="770" t="s">
        <v>1399</v>
      </c>
      <c r="M39" s="770">
        <v>38765000</v>
      </c>
      <c r="N39" s="771"/>
      <c r="O39" s="770">
        <f t="shared" si="4"/>
        <v>38765000</v>
      </c>
      <c r="P39" s="768" t="s">
        <v>713</v>
      </c>
      <c r="Q39" s="769" t="s">
        <v>1400</v>
      </c>
      <c r="R39" s="769" t="s">
        <v>1291</v>
      </c>
      <c r="S39" s="769" t="s">
        <v>88</v>
      </c>
      <c r="T39" s="769" t="s">
        <v>1401</v>
      </c>
      <c r="U39" s="769" t="s">
        <v>36</v>
      </c>
      <c r="V39" s="769" t="s">
        <v>36</v>
      </c>
      <c r="W39" s="769" t="s">
        <v>36</v>
      </c>
      <c r="X39" s="768" t="s">
        <v>704</v>
      </c>
      <c r="Y39" s="767">
        <v>43117</v>
      </c>
      <c r="Z39" s="767">
        <v>43267</v>
      </c>
      <c r="AA39" s="772">
        <f t="shared" si="0"/>
        <v>150</v>
      </c>
      <c r="AB39" s="768" t="s">
        <v>148</v>
      </c>
      <c r="AC39" s="767">
        <f t="shared" si="1"/>
        <v>43267</v>
      </c>
      <c r="AD39" s="769" t="s">
        <v>714</v>
      </c>
      <c r="AE39" s="773" t="s">
        <v>235</v>
      </c>
      <c r="AF39" s="773"/>
      <c r="AG39" s="779"/>
      <c r="AH39" s="769"/>
      <c r="AI39" s="769"/>
      <c r="AJ39" s="774">
        <f t="shared" ca="1" si="3"/>
        <v>28.666666666666668</v>
      </c>
      <c r="AK39" s="775"/>
      <c r="AL39" s="776" t="str">
        <f t="shared" si="2"/>
        <v xml:space="preserve">2518 </v>
      </c>
    </row>
    <row r="40" spans="1:38" ht="170.25" customHeight="1" x14ac:dyDescent="0.25">
      <c r="A40" s="778">
        <v>113</v>
      </c>
      <c r="B40" s="763" t="s">
        <v>918</v>
      </c>
      <c r="C40" s="764" t="s">
        <v>919</v>
      </c>
      <c r="D40" s="765">
        <f>+COUNTIF(C:C,C:C)</f>
        <v>1</v>
      </c>
      <c r="E40" s="766" t="s">
        <v>1287</v>
      </c>
      <c r="F40" s="766">
        <v>74371419</v>
      </c>
      <c r="G40" s="766" t="s">
        <v>1299</v>
      </c>
      <c r="H40" s="767">
        <v>43109</v>
      </c>
      <c r="I40" s="768" t="s">
        <v>911</v>
      </c>
      <c r="J40" s="769" t="s">
        <v>61</v>
      </c>
      <c r="K40" s="769" t="s">
        <v>683</v>
      </c>
      <c r="L40" s="770" t="s">
        <v>1346</v>
      </c>
      <c r="M40" s="770">
        <v>32550000</v>
      </c>
      <c r="N40" s="771"/>
      <c r="O40" s="770">
        <f t="shared" si="4"/>
        <v>32550000</v>
      </c>
      <c r="P40" s="768" t="s">
        <v>920</v>
      </c>
      <c r="Q40" s="769" t="s">
        <v>1402</v>
      </c>
      <c r="R40" s="769" t="s">
        <v>422</v>
      </c>
      <c r="S40" s="769" t="s">
        <v>88</v>
      </c>
      <c r="T40" s="782" t="s">
        <v>1403</v>
      </c>
      <c r="U40" s="769" t="s">
        <v>36</v>
      </c>
      <c r="V40" s="769" t="s">
        <v>36</v>
      </c>
      <c r="W40" s="769" t="s">
        <v>36</v>
      </c>
      <c r="X40" s="768" t="s">
        <v>704</v>
      </c>
      <c r="Y40" s="767">
        <v>43110</v>
      </c>
      <c r="Z40" s="767">
        <v>43260</v>
      </c>
      <c r="AA40" s="772">
        <f t="shared" si="0"/>
        <v>150</v>
      </c>
      <c r="AB40" s="768" t="s">
        <v>148</v>
      </c>
      <c r="AC40" s="767">
        <f t="shared" si="1"/>
        <v>43260</v>
      </c>
      <c r="AD40" s="769" t="s">
        <v>909</v>
      </c>
      <c r="AE40" s="773" t="s">
        <v>901</v>
      </c>
      <c r="AF40" s="773"/>
      <c r="AG40" s="779"/>
      <c r="AH40" s="769"/>
      <c r="AI40" s="769"/>
      <c r="AJ40" s="774">
        <f t="shared" ca="1" si="3"/>
        <v>33.333333333333329</v>
      </c>
      <c r="AK40" s="775"/>
      <c r="AL40" s="776" t="str">
        <f t="shared" si="2"/>
        <v xml:space="preserve">7118 </v>
      </c>
    </row>
    <row r="41" spans="1:38" ht="170.25" customHeight="1" x14ac:dyDescent="0.25">
      <c r="A41" s="778">
        <v>105</v>
      </c>
      <c r="B41" s="763" t="s">
        <v>893</v>
      </c>
      <c r="C41" s="764" t="s">
        <v>894</v>
      </c>
      <c r="D41" s="765">
        <f>+COUNTIF(C:C,C:C)</f>
        <v>1</v>
      </c>
      <c r="E41" s="766" t="s">
        <v>1287</v>
      </c>
      <c r="F41" s="766">
        <v>7311691</v>
      </c>
      <c r="G41" s="766" t="s">
        <v>1299</v>
      </c>
      <c r="H41" s="767">
        <v>43109</v>
      </c>
      <c r="I41" s="768" t="s">
        <v>895</v>
      </c>
      <c r="J41" s="769" t="s">
        <v>61</v>
      </c>
      <c r="K41" s="769" t="s">
        <v>683</v>
      </c>
      <c r="L41" s="770" t="s">
        <v>1404</v>
      </c>
      <c r="M41" s="770">
        <v>21000000</v>
      </c>
      <c r="N41" s="771"/>
      <c r="O41" s="770">
        <f t="shared" si="4"/>
        <v>21000000</v>
      </c>
      <c r="P41" s="768" t="s">
        <v>896</v>
      </c>
      <c r="Q41" s="769" t="s">
        <v>1405</v>
      </c>
      <c r="R41" s="769" t="s">
        <v>1291</v>
      </c>
      <c r="S41" s="769" t="s">
        <v>88</v>
      </c>
      <c r="T41" s="782" t="s">
        <v>1406</v>
      </c>
      <c r="U41" s="769" t="s">
        <v>36</v>
      </c>
      <c r="V41" s="769" t="s">
        <v>36</v>
      </c>
      <c r="W41" s="769" t="s">
        <v>36</v>
      </c>
      <c r="X41" s="768" t="s">
        <v>704</v>
      </c>
      <c r="Y41" s="767">
        <v>43112</v>
      </c>
      <c r="Z41" s="767">
        <v>43262</v>
      </c>
      <c r="AA41" s="772">
        <f t="shared" si="0"/>
        <v>150</v>
      </c>
      <c r="AB41" s="768" t="s">
        <v>148</v>
      </c>
      <c r="AC41" s="767">
        <f t="shared" si="1"/>
        <v>43262</v>
      </c>
      <c r="AD41" s="769" t="s">
        <v>888</v>
      </c>
      <c r="AE41" s="773" t="s">
        <v>540</v>
      </c>
      <c r="AF41" s="773"/>
      <c r="AG41" s="779"/>
      <c r="AH41" s="769"/>
      <c r="AI41" s="769"/>
      <c r="AJ41" s="774">
        <f t="shared" ca="1" si="3"/>
        <v>32</v>
      </c>
      <c r="AK41" s="775"/>
      <c r="AL41" s="776" t="str">
        <f t="shared" si="2"/>
        <v xml:space="preserve">6518 </v>
      </c>
    </row>
    <row r="42" spans="1:38" ht="170.25" customHeight="1" x14ac:dyDescent="0.25">
      <c r="A42" s="778">
        <v>112</v>
      </c>
      <c r="B42" s="763" t="s">
        <v>914</v>
      </c>
      <c r="C42" s="764" t="s">
        <v>915</v>
      </c>
      <c r="D42" s="765">
        <f>+COUNTIF(C:C,C:C)</f>
        <v>1</v>
      </c>
      <c r="E42" s="766" t="s">
        <v>1287</v>
      </c>
      <c r="F42" s="766">
        <v>80547914</v>
      </c>
      <c r="G42" s="766" t="s">
        <v>1299</v>
      </c>
      <c r="H42" s="767">
        <v>43109</v>
      </c>
      <c r="I42" s="768" t="s">
        <v>916</v>
      </c>
      <c r="J42" s="769" t="s">
        <v>61</v>
      </c>
      <c r="K42" s="769" t="s">
        <v>683</v>
      </c>
      <c r="L42" s="770" t="s">
        <v>1346</v>
      </c>
      <c r="M42" s="770">
        <v>32550000</v>
      </c>
      <c r="N42" s="771"/>
      <c r="O42" s="770">
        <f t="shared" si="4"/>
        <v>32550000</v>
      </c>
      <c r="P42" s="768" t="s">
        <v>912</v>
      </c>
      <c r="Q42" s="769" t="s">
        <v>1407</v>
      </c>
      <c r="R42" s="769" t="s">
        <v>422</v>
      </c>
      <c r="S42" s="769" t="s">
        <v>88</v>
      </c>
      <c r="T42" s="769" t="s">
        <v>1408</v>
      </c>
      <c r="U42" s="769" t="s">
        <v>36</v>
      </c>
      <c r="V42" s="769" t="s">
        <v>36</v>
      </c>
      <c r="W42" s="769" t="s">
        <v>36</v>
      </c>
      <c r="X42" s="768" t="s">
        <v>704</v>
      </c>
      <c r="Y42" s="767">
        <v>43110</v>
      </c>
      <c r="Z42" s="767">
        <v>43260</v>
      </c>
      <c r="AA42" s="772">
        <f t="shared" si="0"/>
        <v>150</v>
      </c>
      <c r="AB42" s="768" t="s">
        <v>148</v>
      </c>
      <c r="AC42" s="767">
        <f t="shared" si="1"/>
        <v>43260</v>
      </c>
      <c r="AD42" s="769" t="s">
        <v>917</v>
      </c>
      <c r="AE42" s="773" t="s">
        <v>901</v>
      </c>
      <c r="AF42" s="773"/>
      <c r="AG42" s="779"/>
      <c r="AH42" s="769"/>
      <c r="AI42" s="769"/>
      <c r="AJ42" s="774">
        <f t="shared" ca="1" si="3"/>
        <v>33.333333333333329</v>
      </c>
      <c r="AK42" s="775"/>
      <c r="AL42" s="776" t="str">
        <f t="shared" si="2"/>
        <v xml:space="preserve">7018 </v>
      </c>
    </row>
    <row r="43" spans="1:38" ht="170.25" customHeight="1" x14ac:dyDescent="0.25">
      <c r="A43" s="778">
        <v>73</v>
      </c>
      <c r="B43" s="763" t="s">
        <v>760</v>
      </c>
      <c r="C43" s="764" t="s">
        <v>761</v>
      </c>
      <c r="D43" s="765">
        <f>+COUNTIF(C:C,C:C)</f>
        <v>1</v>
      </c>
      <c r="E43" s="766" t="s">
        <v>1287</v>
      </c>
      <c r="F43" s="766">
        <v>1095906991</v>
      </c>
      <c r="G43" s="766" t="s">
        <v>1299</v>
      </c>
      <c r="H43" s="767">
        <v>43109</v>
      </c>
      <c r="I43" s="768" t="s">
        <v>762</v>
      </c>
      <c r="J43" s="769" t="s">
        <v>61</v>
      </c>
      <c r="K43" s="769" t="s">
        <v>683</v>
      </c>
      <c r="L43" s="770" t="s">
        <v>1310</v>
      </c>
      <c r="M43" s="770">
        <v>19475000</v>
      </c>
      <c r="N43" s="771"/>
      <c r="O43" s="770">
        <f t="shared" si="4"/>
        <v>19475000</v>
      </c>
      <c r="P43" s="768" t="s">
        <v>709</v>
      </c>
      <c r="Q43" s="769" t="s">
        <v>1409</v>
      </c>
      <c r="R43" s="769" t="s">
        <v>1305</v>
      </c>
      <c r="S43" s="769" t="s">
        <v>88</v>
      </c>
      <c r="T43" s="769" t="s">
        <v>1410</v>
      </c>
      <c r="U43" s="769" t="s">
        <v>36</v>
      </c>
      <c r="V43" s="769" t="s">
        <v>36</v>
      </c>
      <c r="W43" s="769" t="s">
        <v>36</v>
      </c>
      <c r="X43" s="768" t="s">
        <v>704</v>
      </c>
      <c r="Y43" s="767">
        <v>43115</v>
      </c>
      <c r="Z43" s="767">
        <v>43265</v>
      </c>
      <c r="AA43" s="772">
        <f t="shared" si="0"/>
        <v>150</v>
      </c>
      <c r="AB43" s="768" t="s">
        <v>148</v>
      </c>
      <c r="AC43" s="767">
        <f t="shared" si="1"/>
        <v>43265</v>
      </c>
      <c r="AD43" s="769" t="s">
        <v>1326</v>
      </c>
      <c r="AE43" s="773" t="s">
        <v>693</v>
      </c>
      <c r="AF43" s="773" t="s">
        <v>710</v>
      </c>
      <c r="AG43" s="779"/>
      <c r="AH43" s="769"/>
      <c r="AI43" s="769"/>
      <c r="AJ43" s="774">
        <f t="shared" ca="1" si="3"/>
        <v>30</v>
      </c>
      <c r="AK43" s="775"/>
      <c r="AL43" s="776" t="str">
        <f t="shared" si="2"/>
        <v xml:space="preserve">3718 </v>
      </c>
    </row>
    <row r="44" spans="1:38" ht="170.25" customHeight="1" x14ac:dyDescent="0.25">
      <c r="A44" s="778">
        <v>104</v>
      </c>
      <c r="B44" s="763" t="s">
        <v>889</v>
      </c>
      <c r="C44" s="764" t="s">
        <v>890</v>
      </c>
      <c r="D44" s="765">
        <f>+COUNTIF(C:C,C:C)</f>
        <v>1</v>
      </c>
      <c r="E44" s="766" t="s">
        <v>1287</v>
      </c>
      <c r="F44" s="766">
        <v>1053766580</v>
      </c>
      <c r="G44" s="766" t="s">
        <v>1299</v>
      </c>
      <c r="H44" s="767">
        <v>43109</v>
      </c>
      <c r="I44" s="768" t="s">
        <v>891</v>
      </c>
      <c r="J44" s="769" t="s">
        <v>61</v>
      </c>
      <c r="K44" s="769" t="s">
        <v>683</v>
      </c>
      <c r="L44" s="770" t="s">
        <v>1411</v>
      </c>
      <c r="M44" s="770">
        <v>19000000</v>
      </c>
      <c r="N44" s="771"/>
      <c r="O44" s="770">
        <f t="shared" si="4"/>
        <v>19000000</v>
      </c>
      <c r="P44" s="768" t="s">
        <v>892</v>
      </c>
      <c r="Q44" s="769" t="s">
        <v>1412</v>
      </c>
      <c r="R44" s="769" t="s">
        <v>1291</v>
      </c>
      <c r="S44" s="769" t="s">
        <v>88</v>
      </c>
      <c r="T44" s="769" t="s">
        <v>1413</v>
      </c>
      <c r="U44" s="769" t="s">
        <v>36</v>
      </c>
      <c r="V44" s="769" t="s">
        <v>36</v>
      </c>
      <c r="W44" s="769" t="s">
        <v>36</v>
      </c>
      <c r="X44" s="768" t="s">
        <v>704</v>
      </c>
      <c r="Y44" s="767">
        <v>43116</v>
      </c>
      <c r="Z44" s="767">
        <v>43266</v>
      </c>
      <c r="AA44" s="772">
        <f t="shared" si="0"/>
        <v>150</v>
      </c>
      <c r="AB44" s="768" t="s">
        <v>148</v>
      </c>
      <c r="AC44" s="767">
        <f t="shared" si="1"/>
        <v>43266</v>
      </c>
      <c r="AD44" s="769" t="s">
        <v>888</v>
      </c>
      <c r="AE44" s="773" t="s">
        <v>540</v>
      </c>
      <c r="AF44" s="773"/>
      <c r="AG44" s="779"/>
      <c r="AH44" s="769"/>
      <c r="AI44" s="769"/>
      <c r="AJ44" s="774">
        <f t="shared" ca="1" si="3"/>
        <v>29.333333333333332</v>
      </c>
      <c r="AK44" s="775"/>
      <c r="AL44" s="776" t="str">
        <f t="shared" si="2"/>
        <v xml:space="preserve">6418 </v>
      </c>
    </row>
    <row r="45" spans="1:38" ht="208.5" customHeight="1" x14ac:dyDescent="0.25">
      <c r="A45" s="778">
        <v>76</v>
      </c>
      <c r="B45" s="763" t="s">
        <v>770</v>
      </c>
      <c r="C45" s="764" t="s">
        <v>771</v>
      </c>
      <c r="D45" s="765">
        <f>+COUNTIF(C:C,C:C)</f>
        <v>1</v>
      </c>
      <c r="E45" s="766" t="s">
        <v>1287</v>
      </c>
      <c r="F45" s="766">
        <v>1012335558</v>
      </c>
      <c r="G45" s="766" t="s">
        <v>1288</v>
      </c>
      <c r="H45" s="767">
        <v>43109</v>
      </c>
      <c r="I45" s="768" t="s">
        <v>772</v>
      </c>
      <c r="J45" s="769" t="s">
        <v>61</v>
      </c>
      <c r="K45" s="769" t="s">
        <v>690</v>
      </c>
      <c r="L45" s="770" t="s">
        <v>1414</v>
      </c>
      <c r="M45" s="770">
        <v>9545000</v>
      </c>
      <c r="N45" s="771"/>
      <c r="O45" s="770">
        <f t="shared" si="4"/>
        <v>9545000</v>
      </c>
      <c r="P45" s="768" t="s">
        <v>773</v>
      </c>
      <c r="Q45" s="769" t="s">
        <v>1415</v>
      </c>
      <c r="R45" s="769" t="s">
        <v>1416</v>
      </c>
      <c r="S45" s="769" t="s">
        <v>88</v>
      </c>
      <c r="T45" s="769" t="s">
        <v>1417</v>
      </c>
      <c r="U45" s="769" t="s">
        <v>36</v>
      </c>
      <c r="V45" s="769" t="s">
        <v>36</v>
      </c>
      <c r="W45" s="769" t="s">
        <v>36</v>
      </c>
      <c r="X45" s="768" t="s">
        <v>704</v>
      </c>
      <c r="Y45" s="767">
        <v>43110</v>
      </c>
      <c r="Z45" s="767">
        <v>43260</v>
      </c>
      <c r="AA45" s="772">
        <f t="shared" si="0"/>
        <v>150</v>
      </c>
      <c r="AB45" s="768" t="s">
        <v>148</v>
      </c>
      <c r="AC45" s="767">
        <f t="shared" si="1"/>
        <v>43260</v>
      </c>
      <c r="AD45" s="769" t="s">
        <v>766</v>
      </c>
      <c r="AE45" s="773" t="s">
        <v>767</v>
      </c>
      <c r="AF45" s="773"/>
      <c r="AG45" s="779"/>
      <c r="AH45" s="769"/>
      <c r="AI45" s="769"/>
      <c r="AJ45" s="774">
        <f t="shared" ca="1" si="3"/>
        <v>33.333333333333329</v>
      </c>
      <c r="AK45" s="775"/>
      <c r="AL45" s="776" t="str">
        <f t="shared" si="2"/>
        <v xml:space="preserve">2118 </v>
      </c>
    </row>
    <row r="46" spans="1:38" ht="170.25" customHeight="1" x14ac:dyDescent="0.25">
      <c r="A46" s="778">
        <v>100</v>
      </c>
      <c r="B46" s="763" t="s">
        <v>870</v>
      </c>
      <c r="C46" s="764" t="s">
        <v>871</v>
      </c>
      <c r="D46" s="765">
        <f>+COUNTIF(C:C,C:C)</f>
        <v>1</v>
      </c>
      <c r="E46" s="766" t="s">
        <v>1287</v>
      </c>
      <c r="F46" s="766">
        <v>52159391</v>
      </c>
      <c r="G46" s="766" t="s">
        <v>1288</v>
      </c>
      <c r="H46" s="767">
        <v>43109</v>
      </c>
      <c r="I46" s="768" t="s">
        <v>872</v>
      </c>
      <c r="J46" s="769" t="s">
        <v>61</v>
      </c>
      <c r="K46" s="769" t="s">
        <v>690</v>
      </c>
      <c r="L46" s="770" t="s">
        <v>1418</v>
      </c>
      <c r="M46" s="770">
        <v>8425000</v>
      </c>
      <c r="N46" s="771"/>
      <c r="O46" s="770">
        <f t="shared" si="4"/>
        <v>8425000</v>
      </c>
      <c r="P46" s="768" t="s">
        <v>873</v>
      </c>
      <c r="Q46" s="769" t="s">
        <v>1419</v>
      </c>
      <c r="R46" s="769" t="s">
        <v>1291</v>
      </c>
      <c r="S46" s="769" t="s">
        <v>88</v>
      </c>
      <c r="T46" s="769" t="s">
        <v>1420</v>
      </c>
      <c r="U46" s="769" t="s">
        <v>36</v>
      </c>
      <c r="V46" s="769" t="s">
        <v>36</v>
      </c>
      <c r="W46" s="769" t="s">
        <v>36</v>
      </c>
      <c r="X46" s="768" t="s">
        <v>704</v>
      </c>
      <c r="Y46" s="767">
        <v>43110</v>
      </c>
      <c r="Z46" s="767">
        <v>43260</v>
      </c>
      <c r="AA46" s="772">
        <f t="shared" si="0"/>
        <v>150</v>
      </c>
      <c r="AB46" s="768" t="s">
        <v>148</v>
      </c>
      <c r="AC46" s="767">
        <f t="shared" si="1"/>
        <v>43260</v>
      </c>
      <c r="AD46" s="769" t="s">
        <v>874</v>
      </c>
      <c r="AE46" s="773" t="s">
        <v>875</v>
      </c>
      <c r="AF46" s="773"/>
      <c r="AG46" s="779"/>
      <c r="AH46" s="769"/>
      <c r="AI46" s="769"/>
      <c r="AJ46" s="774">
        <f t="shared" ca="1" si="3"/>
        <v>33.333333333333329</v>
      </c>
      <c r="AK46" s="775"/>
      <c r="AL46" s="776" t="str">
        <f t="shared" si="2"/>
        <v xml:space="preserve">6018 </v>
      </c>
    </row>
    <row r="47" spans="1:38" ht="190.5" customHeight="1" x14ac:dyDescent="0.25">
      <c r="A47" s="778">
        <v>1</v>
      </c>
      <c r="B47" s="763" t="s">
        <v>665</v>
      </c>
      <c r="C47" s="764" t="s">
        <v>666</v>
      </c>
      <c r="D47" s="765">
        <f>+COUNTIF(C:C,C:C)</f>
        <v>1</v>
      </c>
      <c r="E47" s="766" t="s">
        <v>1287</v>
      </c>
      <c r="F47" s="766">
        <v>830095213</v>
      </c>
      <c r="G47" s="766" t="s">
        <v>1299</v>
      </c>
      <c r="H47" s="767">
        <v>43109</v>
      </c>
      <c r="I47" s="768" t="s">
        <v>667</v>
      </c>
      <c r="J47" s="769" t="s">
        <v>173</v>
      </c>
      <c r="K47" s="769" t="s">
        <v>668</v>
      </c>
      <c r="L47" s="770" t="s">
        <v>1421</v>
      </c>
      <c r="M47" s="770">
        <v>40000000</v>
      </c>
      <c r="N47" s="771"/>
      <c r="O47" s="770">
        <f t="shared" si="4"/>
        <v>40000000</v>
      </c>
      <c r="P47" s="768" t="s">
        <v>669</v>
      </c>
      <c r="Q47" s="769" t="s">
        <v>1422</v>
      </c>
      <c r="R47" s="769" t="s">
        <v>1321</v>
      </c>
      <c r="S47" s="769" t="s">
        <v>88</v>
      </c>
      <c r="T47" s="769" t="s">
        <v>1423</v>
      </c>
      <c r="U47" s="769" t="s">
        <v>36</v>
      </c>
      <c r="V47" s="769" t="s">
        <v>36</v>
      </c>
      <c r="W47" s="769" t="s">
        <v>36</v>
      </c>
      <c r="X47" s="768" t="s">
        <v>670</v>
      </c>
      <c r="Y47" s="767">
        <v>43109</v>
      </c>
      <c r="Z47" s="767">
        <v>43434</v>
      </c>
      <c r="AA47" s="772">
        <f t="shared" si="0"/>
        <v>325</v>
      </c>
      <c r="AB47" s="768" t="s">
        <v>148</v>
      </c>
      <c r="AC47" s="767">
        <f t="shared" si="1"/>
        <v>43434</v>
      </c>
      <c r="AD47" s="769" t="s">
        <v>671</v>
      </c>
      <c r="AE47" s="773" t="s">
        <v>672</v>
      </c>
      <c r="AF47" s="773"/>
      <c r="AG47" s="779"/>
      <c r="AH47" s="769"/>
      <c r="AI47" s="769"/>
      <c r="AJ47" s="774">
        <f t="shared" ca="1" si="3"/>
        <v>15.692307692307692</v>
      </c>
      <c r="AK47" s="775"/>
      <c r="AL47" s="776" t="str">
        <f t="shared" si="2"/>
        <v xml:space="preserve">8018 </v>
      </c>
    </row>
    <row r="48" spans="1:38" ht="170.25" customHeight="1" x14ac:dyDescent="0.25">
      <c r="A48" s="778">
        <v>102</v>
      </c>
      <c r="B48" s="763" t="s">
        <v>880</v>
      </c>
      <c r="C48" s="764" t="s">
        <v>881</v>
      </c>
      <c r="D48" s="765">
        <f>+COUNTIF(C:C,C:C)</f>
        <v>1</v>
      </c>
      <c r="E48" s="766" t="s">
        <v>1287</v>
      </c>
      <c r="F48" s="766">
        <v>52853153</v>
      </c>
      <c r="G48" s="766" t="s">
        <v>1288</v>
      </c>
      <c r="H48" s="767">
        <v>43109</v>
      </c>
      <c r="I48" s="768" t="s">
        <v>882</v>
      </c>
      <c r="J48" s="769" t="s">
        <v>61</v>
      </c>
      <c r="K48" s="769" t="s">
        <v>683</v>
      </c>
      <c r="L48" s="770" t="s">
        <v>1369</v>
      </c>
      <c r="M48" s="770">
        <v>36750000</v>
      </c>
      <c r="N48" s="771"/>
      <c r="O48" s="770">
        <f t="shared" si="4"/>
        <v>36750000</v>
      </c>
      <c r="P48" s="768" t="s">
        <v>883</v>
      </c>
      <c r="Q48" s="769" t="s">
        <v>1424</v>
      </c>
      <c r="R48" s="769" t="s">
        <v>1291</v>
      </c>
      <c r="S48" s="769" t="s">
        <v>88</v>
      </c>
      <c r="T48" s="769" t="s">
        <v>1425</v>
      </c>
      <c r="U48" s="769" t="s">
        <v>36</v>
      </c>
      <c r="V48" s="769" t="s">
        <v>36</v>
      </c>
      <c r="W48" s="769" t="s">
        <v>36</v>
      </c>
      <c r="X48" s="768" t="s">
        <v>704</v>
      </c>
      <c r="Y48" s="767">
        <v>43118</v>
      </c>
      <c r="Z48" s="767">
        <v>43268</v>
      </c>
      <c r="AA48" s="772">
        <f t="shared" si="0"/>
        <v>150</v>
      </c>
      <c r="AB48" s="768" t="s">
        <v>148</v>
      </c>
      <c r="AC48" s="767">
        <f t="shared" si="1"/>
        <v>43268</v>
      </c>
      <c r="AD48" s="769" t="s">
        <v>874</v>
      </c>
      <c r="AE48" s="773" t="s">
        <v>875</v>
      </c>
      <c r="AF48" s="773"/>
      <c r="AG48" s="779"/>
      <c r="AH48" s="769"/>
      <c r="AI48" s="769"/>
      <c r="AJ48" s="774">
        <f t="shared" ca="1" si="3"/>
        <v>28.000000000000004</v>
      </c>
      <c r="AK48" s="775"/>
      <c r="AL48" s="776" t="str">
        <f t="shared" si="2"/>
        <v xml:space="preserve">6218 </v>
      </c>
    </row>
    <row r="49" spans="1:38" ht="170.25" customHeight="1" x14ac:dyDescent="0.25">
      <c r="A49" s="778">
        <v>116</v>
      </c>
      <c r="B49" s="763" t="s">
        <v>927</v>
      </c>
      <c r="C49" s="764" t="s">
        <v>928</v>
      </c>
      <c r="D49" s="765">
        <f>+COUNTIF(C:C,C:C)</f>
        <v>1</v>
      </c>
      <c r="E49" s="766" t="s">
        <v>1287</v>
      </c>
      <c r="F49" s="766">
        <v>79645953</v>
      </c>
      <c r="G49" s="766" t="s">
        <v>1299</v>
      </c>
      <c r="H49" s="767">
        <v>43109</v>
      </c>
      <c r="I49" s="768" t="s">
        <v>702</v>
      </c>
      <c r="J49" s="769" t="s">
        <v>61</v>
      </c>
      <c r="K49" s="769" t="s">
        <v>683</v>
      </c>
      <c r="L49" s="770" t="s">
        <v>1349</v>
      </c>
      <c r="M49" s="770">
        <v>25040000</v>
      </c>
      <c r="N49" s="771"/>
      <c r="O49" s="770">
        <f t="shared" si="4"/>
        <v>25040000</v>
      </c>
      <c r="P49" s="768" t="s">
        <v>929</v>
      </c>
      <c r="Q49" s="769" t="s">
        <v>1426</v>
      </c>
      <c r="R49" s="769" t="s">
        <v>1291</v>
      </c>
      <c r="S49" s="769" t="s">
        <v>88</v>
      </c>
      <c r="T49" s="769" t="s">
        <v>1427</v>
      </c>
      <c r="U49" s="769" t="s">
        <v>36</v>
      </c>
      <c r="V49" s="769" t="s">
        <v>36</v>
      </c>
      <c r="W49" s="769" t="s">
        <v>36</v>
      </c>
      <c r="X49" s="768" t="s">
        <v>704</v>
      </c>
      <c r="Y49" s="767">
        <v>43118</v>
      </c>
      <c r="Z49" s="767">
        <v>43268</v>
      </c>
      <c r="AA49" s="772">
        <f t="shared" si="0"/>
        <v>150</v>
      </c>
      <c r="AB49" s="768" t="s">
        <v>148</v>
      </c>
      <c r="AC49" s="767">
        <f t="shared" si="1"/>
        <v>43268</v>
      </c>
      <c r="AD49" s="769" t="s">
        <v>705</v>
      </c>
      <c r="AE49" s="773" t="s">
        <v>235</v>
      </c>
      <c r="AF49" s="773"/>
      <c r="AG49" s="779"/>
      <c r="AH49" s="769"/>
      <c r="AI49" s="769"/>
      <c r="AJ49" s="774">
        <f t="shared" ca="1" si="3"/>
        <v>28.000000000000004</v>
      </c>
      <c r="AK49" s="775"/>
      <c r="AL49" s="776" t="str">
        <f t="shared" si="2"/>
        <v xml:space="preserve">7418 </v>
      </c>
    </row>
    <row r="50" spans="1:38" ht="170.25" customHeight="1" x14ac:dyDescent="0.25">
      <c r="A50" s="778">
        <v>103</v>
      </c>
      <c r="B50" s="763" t="s">
        <v>884</v>
      </c>
      <c r="C50" s="764" t="s">
        <v>885</v>
      </c>
      <c r="D50" s="765">
        <f>+COUNTIF(C:C,C:C)</f>
        <v>1</v>
      </c>
      <c r="E50" s="766" t="s">
        <v>1287</v>
      </c>
      <c r="F50" s="766">
        <v>88288668</v>
      </c>
      <c r="G50" s="766" t="s">
        <v>1299</v>
      </c>
      <c r="H50" s="767">
        <v>43110</v>
      </c>
      <c r="I50" s="768" t="s">
        <v>886</v>
      </c>
      <c r="J50" s="769" t="s">
        <v>61</v>
      </c>
      <c r="K50" s="769" t="s">
        <v>683</v>
      </c>
      <c r="L50" s="770" t="s">
        <v>1428</v>
      </c>
      <c r="M50" s="770">
        <v>23500000</v>
      </c>
      <c r="N50" s="771"/>
      <c r="O50" s="770">
        <f t="shared" si="4"/>
        <v>23500000</v>
      </c>
      <c r="P50" s="768" t="s">
        <v>887</v>
      </c>
      <c r="Q50" s="769" t="s">
        <v>1394</v>
      </c>
      <c r="R50" s="769" t="s">
        <v>1291</v>
      </c>
      <c r="S50" s="769" t="s">
        <v>88</v>
      </c>
      <c r="T50" s="769" t="s">
        <v>1429</v>
      </c>
      <c r="U50" s="769" t="s">
        <v>36</v>
      </c>
      <c r="V50" s="769" t="s">
        <v>36</v>
      </c>
      <c r="W50" s="769" t="s">
        <v>36</v>
      </c>
      <c r="X50" s="768" t="s">
        <v>704</v>
      </c>
      <c r="Y50" s="767">
        <v>43115</v>
      </c>
      <c r="Z50" s="767">
        <v>43265</v>
      </c>
      <c r="AA50" s="772">
        <f t="shared" si="0"/>
        <v>150</v>
      </c>
      <c r="AB50" s="768" t="s">
        <v>148</v>
      </c>
      <c r="AC50" s="767">
        <f t="shared" si="1"/>
        <v>43265</v>
      </c>
      <c r="AD50" s="769" t="s">
        <v>888</v>
      </c>
      <c r="AE50" s="773" t="s">
        <v>540</v>
      </c>
      <c r="AF50" s="773"/>
      <c r="AG50" s="779"/>
      <c r="AH50" s="769"/>
      <c r="AI50" s="769"/>
      <c r="AJ50" s="774">
        <f t="shared" ca="1" si="3"/>
        <v>30</v>
      </c>
      <c r="AK50" s="775"/>
      <c r="AL50" s="776" t="str">
        <f t="shared" si="2"/>
        <v xml:space="preserve">5318 </v>
      </c>
    </row>
    <row r="51" spans="1:38" ht="170.25" customHeight="1" x14ac:dyDescent="0.25">
      <c r="A51" s="778">
        <v>90</v>
      </c>
      <c r="B51" s="763" t="s">
        <v>829</v>
      </c>
      <c r="C51" s="764" t="s">
        <v>830</v>
      </c>
      <c r="D51" s="765">
        <f>+COUNTIF(C:C,C:C)</f>
        <v>1</v>
      </c>
      <c r="E51" s="766" t="s">
        <v>1287</v>
      </c>
      <c r="F51" s="766">
        <v>1015396220</v>
      </c>
      <c r="G51" s="766" t="s">
        <v>1288</v>
      </c>
      <c r="H51" s="767">
        <v>43110</v>
      </c>
      <c r="I51" s="768" t="s">
        <v>831</v>
      </c>
      <c r="J51" s="769" t="s">
        <v>61</v>
      </c>
      <c r="K51" s="769" t="s">
        <v>683</v>
      </c>
      <c r="L51" s="770" t="s">
        <v>1430</v>
      </c>
      <c r="M51" s="770">
        <v>14000000</v>
      </c>
      <c r="N51" s="771"/>
      <c r="O51" s="770">
        <f t="shared" si="4"/>
        <v>14000000</v>
      </c>
      <c r="P51" s="768" t="s">
        <v>832</v>
      </c>
      <c r="Q51" s="769" t="s">
        <v>1431</v>
      </c>
      <c r="R51" s="769" t="s">
        <v>1305</v>
      </c>
      <c r="S51" s="769" t="s">
        <v>88</v>
      </c>
      <c r="T51" s="769" t="s">
        <v>1432</v>
      </c>
      <c r="U51" s="769" t="s">
        <v>36</v>
      </c>
      <c r="V51" s="769" t="s">
        <v>36</v>
      </c>
      <c r="W51" s="769" t="s">
        <v>36</v>
      </c>
      <c r="X51" s="768" t="s">
        <v>704</v>
      </c>
      <c r="Y51" s="767">
        <v>43111</v>
      </c>
      <c r="Z51" s="767">
        <v>43261</v>
      </c>
      <c r="AA51" s="772">
        <f t="shared" si="0"/>
        <v>150</v>
      </c>
      <c r="AB51" s="768" t="s">
        <v>148</v>
      </c>
      <c r="AC51" s="767">
        <f t="shared" si="1"/>
        <v>43261</v>
      </c>
      <c r="AD51" s="769" t="s">
        <v>833</v>
      </c>
      <c r="AE51" s="773" t="s">
        <v>834</v>
      </c>
      <c r="AF51" s="773"/>
      <c r="AG51" s="779"/>
      <c r="AH51" s="769"/>
      <c r="AI51" s="769"/>
      <c r="AJ51" s="774">
        <f t="shared" ca="1" si="3"/>
        <v>32.666666666666664</v>
      </c>
      <c r="AK51" s="775"/>
      <c r="AL51" s="776" t="str">
        <f t="shared" si="2"/>
        <v xml:space="preserve">5018 </v>
      </c>
    </row>
    <row r="52" spans="1:38" ht="170.25" customHeight="1" x14ac:dyDescent="0.25">
      <c r="A52" s="778">
        <v>132</v>
      </c>
      <c r="B52" s="763" t="s">
        <v>995</v>
      </c>
      <c r="C52" s="764" t="s">
        <v>996</v>
      </c>
      <c r="D52" s="765">
        <f>+COUNTIF(C:C,C:C)</f>
        <v>1</v>
      </c>
      <c r="E52" s="766" t="s">
        <v>1287</v>
      </c>
      <c r="F52" s="766">
        <v>1111745184</v>
      </c>
      <c r="G52" s="766" t="s">
        <v>1299</v>
      </c>
      <c r="H52" s="767">
        <v>43110</v>
      </c>
      <c r="I52" s="768" t="s">
        <v>997</v>
      </c>
      <c r="J52" s="769" t="s">
        <v>61</v>
      </c>
      <c r="K52" s="769" t="s">
        <v>683</v>
      </c>
      <c r="L52" s="770" t="s">
        <v>1433</v>
      </c>
      <c r="M52" s="770">
        <v>52080000</v>
      </c>
      <c r="N52" s="771"/>
      <c r="O52" s="770">
        <f t="shared" si="4"/>
        <v>52080000</v>
      </c>
      <c r="P52" s="768" t="s">
        <v>998</v>
      </c>
      <c r="Q52" s="769" t="s">
        <v>1434</v>
      </c>
      <c r="R52" s="769" t="s">
        <v>1291</v>
      </c>
      <c r="S52" s="769" t="s">
        <v>88</v>
      </c>
      <c r="T52" s="769" t="s">
        <v>1435</v>
      </c>
      <c r="U52" s="769" t="s">
        <v>36</v>
      </c>
      <c r="V52" s="769" t="s">
        <v>36</v>
      </c>
      <c r="W52" s="769" t="s">
        <v>36</v>
      </c>
      <c r="X52" s="768" t="s">
        <v>704</v>
      </c>
      <c r="Y52" s="767">
        <v>43116</v>
      </c>
      <c r="Z52" s="767">
        <v>43266</v>
      </c>
      <c r="AA52" s="772">
        <f t="shared" si="0"/>
        <v>150</v>
      </c>
      <c r="AB52" s="768" t="s">
        <v>148</v>
      </c>
      <c r="AC52" s="767">
        <f t="shared" si="1"/>
        <v>43266</v>
      </c>
      <c r="AD52" s="769" t="s">
        <v>994</v>
      </c>
      <c r="AE52" s="773" t="s">
        <v>901</v>
      </c>
      <c r="AF52" s="773"/>
      <c r="AG52" s="779"/>
      <c r="AH52" s="769"/>
      <c r="AI52" s="769"/>
      <c r="AJ52" s="774">
        <f t="shared" ca="1" si="3"/>
        <v>29.333333333333332</v>
      </c>
      <c r="AK52" s="775"/>
      <c r="AL52" s="776" t="str">
        <f t="shared" si="2"/>
        <v>10418</v>
      </c>
    </row>
    <row r="53" spans="1:38" ht="213.75" customHeight="1" x14ac:dyDescent="0.25">
      <c r="A53" s="778">
        <v>133</v>
      </c>
      <c r="B53" s="763" t="s">
        <v>999</v>
      </c>
      <c r="C53" s="764" t="s">
        <v>1000</v>
      </c>
      <c r="D53" s="765">
        <f>+COUNTIF(C:C,C:C)</f>
        <v>1</v>
      </c>
      <c r="E53" s="766" t="s">
        <v>1287</v>
      </c>
      <c r="F53" s="766">
        <v>80108622</v>
      </c>
      <c r="G53" s="766" t="s">
        <v>1288</v>
      </c>
      <c r="H53" s="767">
        <v>43110</v>
      </c>
      <c r="I53" s="768" t="s">
        <v>1001</v>
      </c>
      <c r="J53" s="769" t="s">
        <v>61</v>
      </c>
      <c r="K53" s="769" t="s">
        <v>683</v>
      </c>
      <c r="L53" s="770" t="s">
        <v>1433</v>
      </c>
      <c r="M53" s="770">
        <v>52080000</v>
      </c>
      <c r="N53" s="771"/>
      <c r="O53" s="770">
        <f t="shared" si="4"/>
        <v>52080000</v>
      </c>
      <c r="P53" s="768" t="s">
        <v>998</v>
      </c>
      <c r="Q53" s="769" t="s">
        <v>1436</v>
      </c>
      <c r="R53" s="769" t="s">
        <v>1291</v>
      </c>
      <c r="S53" s="769" t="s">
        <v>88</v>
      </c>
      <c r="T53" s="769" t="s">
        <v>1437</v>
      </c>
      <c r="U53" s="769" t="s">
        <v>36</v>
      </c>
      <c r="V53" s="769" t="s">
        <v>36</v>
      </c>
      <c r="W53" s="769" t="s">
        <v>36</v>
      </c>
      <c r="X53" s="768" t="s">
        <v>980</v>
      </c>
      <c r="Y53" s="767">
        <v>43116</v>
      </c>
      <c r="Z53" s="767">
        <v>43358</v>
      </c>
      <c r="AA53" s="772">
        <f t="shared" si="0"/>
        <v>242</v>
      </c>
      <c r="AB53" s="768" t="s">
        <v>148</v>
      </c>
      <c r="AC53" s="767">
        <f t="shared" si="1"/>
        <v>43358</v>
      </c>
      <c r="AD53" s="769" t="s">
        <v>994</v>
      </c>
      <c r="AE53" s="773" t="s">
        <v>901</v>
      </c>
      <c r="AF53" s="773"/>
      <c r="AG53" s="779"/>
      <c r="AH53" s="769"/>
      <c r="AI53" s="769"/>
      <c r="AJ53" s="774">
        <f t="shared" ca="1" si="3"/>
        <v>18.181818181818183</v>
      </c>
      <c r="AK53" s="775"/>
      <c r="AL53" s="776" t="str">
        <f t="shared" si="2"/>
        <v>10518</v>
      </c>
    </row>
    <row r="54" spans="1:38" ht="170.25" customHeight="1" x14ac:dyDescent="0.25">
      <c r="A54" s="778">
        <v>131</v>
      </c>
      <c r="B54" s="763" t="s">
        <v>990</v>
      </c>
      <c r="C54" s="764" t="s">
        <v>991</v>
      </c>
      <c r="D54" s="765">
        <f>+COUNTIF(C:C,C:C)</f>
        <v>1</v>
      </c>
      <c r="E54" s="766" t="s">
        <v>1287</v>
      </c>
      <c r="F54" s="766">
        <v>52309586</v>
      </c>
      <c r="G54" s="766" t="s">
        <v>1288</v>
      </c>
      <c r="H54" s="767">
        <v>43110</v>
      </c>
      <c r="I54" s="768" t="s">
        <v>992</v>
      </c>
      <c r="J54" s="769" t="s">
        <v>61</v>
      </c>
      <c r="K54" s="769" t="s">
        <v>683</v>
      </c>
      <c r="L54" s="770" t="s">
        <v>1438</v>
      </c>
      <c r="M54" s="770">
        <v>42400000</v>
      </c>
      <c r="N54" s="771"/>
      <c r="O54" s="770">
        <f t="shared" si="4"/>
        <v>42400000</v>
      </c>
      <c r="P54" s="768" t="s">
        <v>993</v>
      </c>
      <c r="Q54" s="769" t="s">
        <v>1439</v>
      </c>
      <c r="R54" s="769" t="s">
        <v>1291</v>
      </c>
      <c r="S54" s="769" t="s">
        <v>1440</v>
      </c>
      <c r="T54" s="769" t="s">
        <v>1441</v>
      </c>
      <c r="U54" s="769" t="s">
        <v>36</v>
      </c>
      <c r="V54" s="769" t="s">
        <v>36</v>
      </c>
      <c r="W54" s="769" t="s">
        <v>36</v>
      </c>
      <c r="X54" s="768" t="s">
        <v>980</v>
      </c>
      <c r="Y54" s="767">
        <v>43116</v>
      </c>
      <c r="Z54" s="767">
        <v>43358</v>
      </c>
      <c r="AA54" s="772">
        <f t="shared" si="0"/>
        <v>242</v>
      </c>
      <c r="AB54" s="768" t="s">
        <v>148</v>
      </c>
      <c r="AC54" s="767">
        <f t="shared" si="1"/>
        <v>43358</v>
      </c>
      <c r="AD54" s="769" t="s">
        <v>994</v>
      </c>
      <c r="AE54" s="773" t="s">
        <v>901</v>
      </c>
      <c r="AF54" s="773"/>
      <c r="AG54" s="779"/>
      <c r="AH54" s="769"/>
      <c r="AI54" s="769"/>
      <c r="AJ54" s="774">
        <f t="shared" ca="1" si="3"/>
        <v>18.181818181818183</v>
      </c>
      <c r="AK54" s="775"/>
      <c r="AL54" s="776" t="str">
        <f t="shared" si="2"/>
        <v>10318</v>
      </c>
    </row>
    <row r="55" spans="1:38" ht="170.25" customHeight="1" x14ac:dyDescent="0.25">
      <c r="A55" s="778">
        <v>187</v>
      </c>
      <c r="B55" s="763" t="s">
        <v>1181</v>
      </c>
      <c r="C55" s="764" t="s">
        <v>1182</v>
      </c>
      <c r="D55" s="765">
        <f>+COUNTIF(C:C,C:C)</f>
        <v>1</v>
      </c>
      <c r="E55" s="766" t="s">
        <v>1287</v>
      </c>
      <c r="F55" s="766">
        <v>53027718</v>
      </c>
      <c r="G55" s="766" t="s">
        <v>1288</v>
      </c>
      <c r="H55" s="767">
        <v>43111</v>
      </c>
      <c r="I55" s="768" t="s">
        <v>1164</v>
      </c>
      <c r="J55" s="769" t="s">
        <v>61</v>
      </c>
      <c r="K55" s="769" t="s">
        <v>683</v>
      </c>
      <c r="L55" s="770" t="s">
        <v>1442</v>
      </c>
      <c r="M55" s="770">
        <v>59500000</v>
      </c>
      <c r="N55" s="771"/>
      <c r="O55" s="770">
        <f t="shared" si="4"/>
        <v>59500000</v>
      </c>
      <c r="P55" s="768" t="s">
        <v>1165</v>
      </c>
      <c r="Q55" s="769" t="s">
        <v>1443</v>
      </c>
      <c r="R55" s="769" t="s">
        <v>1305</v>
      </c>
      <c r="S55" s="769" t="s">
        <v>1440</v>
      </c>
      <c r="T55" s="769" t="s">
        <v>1444</v>
      </c>
      <c r="U55" s="769" t="s">
        <v>36</v>
      </c>
      <c r="V55" s="769" t="s">
        <v>36</v>
      </c>
      <c r="W55" s="769" t="s">
        <v>36</v>
      </c>
      <c r="X55" s="768" t="s">
        <v>1166</v>
      </c>
      <c r="Y55" s="767">
        <v>43122</v>
      </c>
      <c r="Z55" s="767">
        <v>43333</v>
      </c>
      <c r="AA55" s="772">
        <f t="shared" si="0"/>
        <v>211</v>
      </c>
      <c r="AB55" s="768" t="s">
        <v>148</v>
      </c>
      <c r="AC55" s="767">
        <f t="shared" si="1"/>
        <v>43333</v>
      </c>
      <c r="AD55" s="769" t="s">
        <v>815</v>
      </c>
      <c r="AE55" s="773" t="s">
        <v>816</v>
      </c>
      <c r="AF55" s="773"/>
      <c r="AG55" s="779"/>
      <c r="AH55" s="769"/>
      <c r="AI55" s="769"/>
      <c r="AJ55" s="774">
        <f t="shared" ca="1" si="3"/>
        <v>18.009478672985782</v>
      </c>
      <c r="AK55" s="775"/>
      <c r="AL55" s="776" t="str">
        <f t="shared" si="2"/>
        <v>15818</v>
      </c>
    </row>
    <row r="56" spans="1:38" ht="170.25" customHeight="1" x14ac:dyDescent="0.25">
      <c r="A56" s="778">
        <v>196</v>
      </c>
      <c r="B56" s="763" t="s">
        <v>1199</v>
      </c>
      <c r="C56" s="764" t="s">
        <v>1200</v>
      </c>
      <c r="D56" s="765">
        <f>+COUNTIF(C:C,C:C)</f>
        <v>1</v>
      </c>
      <c r="E56" s="766" t="s">
        <v>1287</v>
      </c>
      <c r="F56" s="766">
        <v>77192796</v>
      </c>
      <c r="G56" s="766" t="s">
        <v>1299</v>
      </c>
      <c r="H56" s="767">
        <v>43111</v>
      </c>
      <c r="I56" s="768" t="s">
        <v>1164</v>
      </c>
      <c r="J56" s="769" t="s">
        <v>61</v>
      </c>
      <c r="K56" s="769" t="s">
        <v>683</v>
      </c>
      <c r="L56" s="770" t="s">
        <v>1442</v>
      </c>
      <c r="M56" s="770">
        <v>59500000</v>
      </c>
      <c r="N56" s="771"/>
      <c r="O56" s="770">
        <f t="shared" si="4"/>
        <v>59500000</v>
      </c>
      <c r="P56" s="768" t="s">
        <v>1165</v>
      </c>
      <c r="Q56" s="769" t="s">
        <v>1445</v>
      </c>
      <c r="R56" s="769" t="s">
        <v>1305</v>
      </c>
      <c r="S56" s="769" t="s">
        <v>1440</v>
      </c>
      <c r="T56" s="769" t="s">
        <v>1446</v>
      </c>
      <c r="U56" s="769" t="s">
        <v>36</v>
      </c>
      <c r="V56" s="769" t="s">
        <v>36</v>
      </c>
      <c r="W56" s="769" t="s">
        <v>36</v>
      </c>
      <c r="X56" s="768" t="s">
        <v>1166</v>
      </c>
      <c r="Y56" s="767">
        <v>43122</v>
      </c>
      <c r="Z56" s="767">
        <v>43333</v>
      </c>
      <c r="AA56" s="772">
        <f t="shared" si="0"/>
        <v>211</v>
      </c>
      <c r="AB56" s="768" t="s">
        <v>148</v>
      </c>
      <c r="AC56" s="767">
        <f t="shared" si="1"/>
        <v>43333</v>
      </c>
      <c r="AD56" s="769" t="s">
        <v>815</v>
      </c>
      <c r="AE56" s="773" t="s">
        <v>816</v>
      </c>
      <c r="AF56" s="773"/>
      <c r="AG56" s="779"/>
      <c r="AH56" s="769"/>
      <c r="AI56" s="769"/>
      <c r="AJ56" s="774">
        <f t="shared" ca="1" si="3"/>
        <v>18.009478672985782</v>
      </c>
      <c r="AK56" s="775"/>
      <c r="AL56" s="776" t="str">
        <f t="shared" si="2"/>
        <v>16718</v>
      </c>
    </row>
    <row r="57" spans="1:38" ht="170.25" customHeight="1" x14ac:dyDescent="0.25">
      <c r="A57" s="778">
        <v>182</v>
      </c>
      <c r="B57" s="763" t="s">
        <v>1169</v>
      </c>
      <c r="C57" s="764" t="s">
        <v>1170</v>
      </c>
      <c r="D57" s="765">
        <f>+COUNTIF(C:C,C:C)</f>
        <v>1</v>
      </c>
      <c r="E57" s="766" t="s">
        <v>1287</v>
      </c>
      <c r="F57" s="766">
        <v>52409044</v>
      </c>
      <c r="G57" s="766" t="s">
        <v>1288</v>
      </c>
      <c r="H57" s="767">
        <v>43111</v>
      </c>
      <c r="I57" s="768" t="s">
        <v>1164</v>
      </c>
      <c r="J57" s="769" t="s">
        <v>61</v>
      </c>
      <c r="K57" s="769" t="s">
        <v>683</v>
      </c>
      <c r="L57" s="770" t="s">
        <v>1442</v>
      </c>
      <c r="M57" s="770">
        <v>59500000</v>
      </c>
      <c r="N57" s="771"/>
      <c r="O57" s="770">
        <f t="shared" si="4"/>
        <v>59500000</v>
      </c>
      <c r="P57" s="768" t="s">
        <v>1165</v>
      </c>
      <c r="Q57" s="769" t="s">
        <v>1447</v>
      </c>
      <c r="R57" s="769" t="s">
        <v>1305</v>
      </c>
      <c r="S57" s="769" t="s">
        <v>1440</v>
      </c>
      <c r="T57" s="769" t="s">
        <v>1448</v>
      </c>
      <c r="U57" s="769" t="s">
        <v>36</v>
      </c>
      <c r="V57" s="769" t="s">
        <v>36</v>
      </c>
      <c r="W57" s="769" t="s">
        <v>36</v>
      </c>
      <c r="X57" s="768" t="s">
        <v>1166</v>
      </c>
      <c r="Y57" s="767">
        <v>43122</v>
      </c>
      <c r="Z57" s="767">
        <v>43333</v>
      </c>
      <c r="AA57" s="772">
        <f t="shared" si="0"/>
        <v>211</v>
      </c>
      <c r="AB57" s="768" t="s">
        <v>148</v>
      </c>
      <c r="AC57" s="767">
        <f t="shared" si="1"/>
        <v>43333</v>
      </c>
      <c r="AD57" s="769" t="s">
        <v>815</v>
      </c>
      <c r="AE57" s="773" t="s">
        <v>816</v>
      </c>
      <c r="AF57" s="773"/>
      <c r="AG57" s="779"/>
      <c r="AH57" s="769"/>
      <c r="AI57" s="769"/>
      <c r="AJ57" s="774">
        <f t="shared" ca="1" si="3"/>
        <v>18.009478672985782</v>
      </c>
      <c r="AK57" s="775"/>
      <c r="AL57" s="776" t="str">
        <f t="shared" si="2"/>
        <v>15318</v>
      </c>
    </row>
    <row r="58" spans="1:38" ht="170.25" customHeight="1" x14ac:dyDescent="0.25">
      <c r="A58" s="778">
        <v>194</v>
      </c>
      <c r="B58" s="763" t="s">
        <v>1195</v>
      </c>
      <c r="C58" s="764" t="s">
        <v>1196</v>
      </c>
      <c r="D58" s="765">
        <f>+COUNTIF(C:C,C:C)</f>
        <v>1</v>
      </c>
      <c r="E58" s="766" t="s">
        <v>1287</v>
      </c>
      <c r="F58" s="766">
        <v>79350828</v>
      </c>
      <c r="G58" s="766" t="s">
        <v>1299</v>
      </c>
      <c r="H58" s="767">
        <v>43111</v>
      </c>
      <c r="I58" s="768" t="s">
        <v>1164</v>
      </c>
      <c r="J58" s="769" t="s">
        <v>61</v>
      </c>
      <c r="K58" s="769" t="s">
        <v>683</v>
      </c>
      <c r="L58" s="770" t="s">
        <v>1442</v>
      </c>
      <c r="M58" s="770">
        <v>59500000</v>
      </c>
      <c r="N58" s="771"/>
      <c r="O58" s="770">
        <f t="shared" si="4"/>
        <v>59500000</v>
      </c>
      <c r="P58" s="768" t="s">
        <v>1165</v>
      </c>
      <c r="Q58" s="769" t="s">
        <v>1449</v>
      </c>
      <c r="R58" s="769" t="s">
        <v>1305</v>
      </c>
      <c r="S58" s="769" t="s">
        <v>1440</v>
      </c>
      <c r="T58" s="769" t="s">
        <v>1450</v>
      </c>
      <c r="U58" s="769" t="s">
        <v>36</v>
      </c>
      <c r="V58" s="769" t="s">
        <v>36</v>
      </c>
      <c r="W58" s="769" t="s">
        <v>36</v>
      </c>
      <c r="X58" s="768" t="s">
        <v>1166</v>
      </c>
      <c r="Y58" s="767">
        <v>43122</v>
      </c>
      <c r="Z58" s="767">
        <v>43333</v>
      </c>
      <c r="AA58" s="772">
        <f t="shared" si="0"/>
        <v>211</v>
      </c>
      <c r="AB58" s="768" t="s">
        <v>148</v>
      </c>
      <c r="AC58" s="767">
        <f t="shared" si="1"/>
        <v>43333</v>
      </c>
      <c r="AD58" s="769" t="s">
        <v>815</v>
      </c>
      <c r="AE58" s="773" t="s">
        <v>816</v>
      </c>
      <c r="AF58" s="773"/>
      <c r="AG58" s="779"/>
      <c r="AH58" s="769"/>
      <c r="AI58" s="769"/>
      <c r="AJ58" s="774">
        <f t="shared" ca="1" si="3"/>
        <v>18.009478672985782</v>
      </c>
      <c r="AK58" s="775"/>
      <c r="AL58" s="776" t="str">
        <f t="shared" si="2"/>
        <v>16518</v>
      </c>
    </row>
    <row r="59" spans="1:38" ht="170.25" customHeight="1" x14ac:dyDescent="0.25">
      <c r="A59" s="778">
        <v>188</v>
      </c>
      <c r="B59" s="763" t="s">
        <v>1183</v>
      </c>
      <c r="C59" s="764" t="s">
        <v>1184</v>
      </c>
      <c r="D59" s="765">
        <f>+COUNTIF(C:C,C:C)</f>
        <v>1</v>
      </c>
      <c r="E59" s="766" t="s">
        <v>1287</v>
      </c>
      <c r="F59" s="766">
        <v>80499733</v>
      </c>
      <c r="G59" s="766" t="s">
        <v>1299</v>
      </c>
      <c r="H59" s="767">
        <v>43111</v>
      </c>
      <c r="I59" s="768" t="s">
        <v>1164</v>
      </c>
      <c r="J59" s="769" t="s">
        <v>61</v>
      </c>
      <c r="K59" s="769" t="s">
        <v>683</v>
      </c>
      <c r="L59" s="770" t="s">
        <v>1442</v>
      </c>
      <c r="M59" s="770">
        <v>59500000</v>
      </c>
      <c r="N59" s="771"/>
      <c r="O59" s="770">
        <f t="shared" si="4"/>
        <v>59500000</v>
      </c>
      <c r="P59" s="768" t="s">
        <v>1165</v>
      </c>
      <c r="Q59" s="769" t="s">
        <v>1451</v>
      </c>
      <c r="R59" s="769" t="s">
        <v>1305</v>
      </c>
      <c r="S59" s="769" t="s">
        <v>1440</v>
      </c>
      <c r="T59" s="769" t="s">
        <v>1452</v>
      </c>
      <c r="U59" s="769" t="s">
        <v>36</v>
      </c>
      <c r="V59" s="769" t="s">
        <v>36</v>
      </c>
      <c r="W59" s="769" t="s">
        <v>36</v>
      </c>
      <c r="X59" s="768" t="s">
        <v>1166</v>
      </c>
      <c r="Y59" s="767">
        <v>43122</v>
      </c>
      <c r="Z59" s="767">
        <v>43333</v>
      </c>
      <c r="AA59" s="772">
        <f t="shared" si="0"/>
        <v>211</v>
      </c>
      <c r="AB59" s="768" t="s">
        <v>148</v>
      </c>
      <c r="AC59" s="767">
        <f t="shared" si="1"/>
        <v>43333</v>
      </c>
      <c r="AD59" s="769" t="s">
        <v>815</v>
      </c>
      <c r="AE59" s="773" t="s">
        <v>816</v>
      </c>
      <c r="AF59" s="773"/>
      <c r="AG59" s="779"/>
      <c r="AH59" s="769"/>
      <c r="AI59" s="769"/>
      <c r="AJ59" s="774">
        <f t="shared" ca="1" si="3"/>
        <v>18.009478672985782</v>
      </c>
      <c r="AK59" s="775"/>
      <c r="AL59" s="776" t="str">
        <f t="shared" si="2"/>
        <v>15918</v>
      </c>
    </row>
    <row r="60" spans="1:38" ht="170.25" customHeight="1" x14ac:dyDescent="0.25">
      <c r="A60" s="778">
        <v>180</v>
      </c>
      <c r="B60" s="763" t="s">
        <v>1162</v>
      </c>
      <c r="C60" s="764" t="s">
        <v>1163</v>
      </c>
      <c r="D60" s="765">
        <f>+COUNTIF(C:C,C:C)</f>
        <v>1</v>
      </c>
      <c r="E60" s="766" t="s">
        <v>1287</v>
      </c>
      <c r="F60" s="766">
        <v>19408596</v>
      </c>
      <c r="G60" s="766" t="s">
        <v>1299</v>
      </c>
      <c r="H60" s="767">
        <v>43111</v>
      </c>
      <c r="I60" s="768" t="s">
        <v>1164</v>
      </c>
      <c r="J60" s="769" t="s">
        <v>61</v>
      </c>
      <c r="K60" s="769" t="s">
        <v>683</v>
      </c>
      <c r="L60" s="770" t="s">
        <v>1442</v>
      </c>
      <c r="M60" s="770">
        <v>59500000</v>
      </c>
      <c r="N60" s="771"/>
      <c r="O60" s="770">
        <f t="shared" si="4"/>
        <v>59500000</v>
      </c>
      <c r="P60" s="768" t="s">
        <v>1165</v>
      </c>
      <c r="Q60" s="769" t="s">
        <v>1453</v>
      </c>
      <c r="R60" s="769" t="s">
        <v>1305</v>
      </c>
      <c r="S60" s="769" t="s">
        <v>1440</v>
      </c>
      <c r="T60" s="769" t="s">
        <v>1454</v>
      </c>
      <c r="U60" s="769" t="s">
        <v>36</v>
      </c>
      <c r="V60" s="769" t="s">
        <v>36</v>
      </c>
      <c r="W60" s="769" t="s">
        <v>36</v>
      </c>
      <c r="X60" s="768" t="s">
        <v>1166</v>
      </c>
      <c r="Y60" s="767">
        <v>43122</v>
      </c>
      <c r="Z60" s="767">
        <v>43333</v>
      </c>
      <c r="AA60" s="772">
        <f t="shared" si="0"/>
        <v>211</v>
      </c>
      <c r="AB60" s="768" t="s">
        <v>148</v>
      </c>
      <c r="AC60" s="767">
        <f t="shared" si="1"/>
        <v>43333</v>
      </c>
      <c r="AD60" s="769" t="s">
        <v>815</v>
      </c>
      <c r="AE60" s="773" t="s">
        <v>816</v>
      </c>
      <c r="AF60" s="773"/>
      <c r="AG60" s="779"/>
      <c r="AH60" s="769"/>
      <c r="AI60" s="769"/>
      <c r="AJ60" s="774">
        <f t="shared" ca="1" si="3"/>
        <v>18.009478672985782</v>
      </c>
      <c r="AK60" s="775"/>
      <c r="AL60" s="776" t="str">
        <f t="shared" si="2"/>
        <v>15118</v>
      </c>
    </row>
    <row r="61" spans="1:38" ht="170.25" customHeight="1" x14ac:dyDescent="0.25">
      <c r="A61" s="778">
        <v>186</v>
      </c>
      <c r="B61" s="763" t="s">
        <v>1179</v>
      </c>
      <c r="C61" s="764" t="s">
        <v>1180</v>
      </c>
      <c r="D61" s="765">
        <f>+COUNTIF(C:C,C:C)</f>
        <v>1</v>
      </c>
      <c r="E61" s="766" t="s">
        <v>1287</v>
      </c>
      <c r="F61" s="766">
        <v>52800226</v>
      </c>
      <c r="G61" s="766" t="s">
        <v>1288</v>
      </c>
      <c r="H61" s="767">
        <v>43111</v>
      </c>
      <c r="I61" s="768" t="s">
        <v>1164</v>
      </c>
      <c r="J61" s="769" t="s">
        <v>61</v>
      </c>
      <c r="K61" s="769" t="s">
        <v>683</v>
      </c>
      <c r="L61" s="770" t="s">
        <v>1442</v>
      </c>
      <c r="M61" s="770">
        <v>59500000</v>
      </c>
      <c r="N61" s="771"/>
      <c r="O61" s="770">
        <f t="shared" si="4"/>
        <v>59500000</v>
      </c>
      <c r="P61" s="768" t="s">
        <v>1165</v>
      </c>
      <c r="Q61" s="769" t="s">
        <v>1455</v>
      </c>
      <c r="R61" s="769" t="s">
        <v>1305</v>
      </c>
      <c r="S61" s="769" t="s">
        <v>1440</v>
      </c>
      <c r="T61" s="769" t="s">
        <v>1456</v>
      </c>
      <c r="U61" s="769" t="s">
        <v>36</v>
      </c>
      <c r="V61" s="769" t="s">
        <v>36</v>
      </c>
      <c r="W61" s="769" t="s">
        <v>36</v>
      </c>
      <c r="X61" s="768" t="s">
        <v>1166</v>
      </c>
      <c r="Y61" s="767">
        <v>43122</v>
      </c>
      <c r="Z61" s="767">
        <v>43333</v>
      </c>
      <c r="AA61" s="772">
        <f t="shared" si="0"/>
        <v>211</v>
      </c>
      <c r="AB61" s="768" t="s">
        <v>148</v>
      </c>
      <c r="AC61" s="767">
        <f t="shared" si="1"/>
        <v>43333</v>
      </c>
      <c r="AD61" s="769" t="s">
        <v>815</v>
      </c>
      <c r="AE61" s="773" t="s">
        <v>816</v>
      </c>
      <c r="AF61" s="773"/>
      <c r="AG61" s="779"/>
      <c r="AH61" s="769"/>
      <c r="AI61" s="769"/>
      <c r="AJ61" s="774">
        <f t="shared" ca="1" si="3"/>
        <v>18.009478672985782</v>
      </c>
      <c r="AK61" s="775"/>
      <c r="AL61" s="776" t="str">
        <f t="shared" si="2"/>
        <v>15718</v>
      </c>
    </row>
    <row r="62" spans="1:38" ht="170.25" customHeight="1" x14ac:dyDescent="0.25">
      <c r="A62" s="778">
        <v>185</v>
      </c>
      <c r="B62" s="763" t="s">
        <v>1177</v>
      </c>
      <c r="C62" s="764" t="s">
        <v>1178</v>
      </c>
      <c r="D62" s="765">
        <f>+COUNTIF(C:C,C:C)</f>
        <v>1</v>
      </c>
      <c r="E62" s="766" t="s">
        <v>1287</v>
      </c>
      <c r="F62" s="766">
        <v>52505587</v>
      </c>
      <c r="G62" s="766" t="s">
        <v>1288</v>
      </c>
      <c r="H62" s="767">
        <v>43111</v>
      </c>
      <c r="I62" s="768" t="s">
        <v>1164</v>
      </c>
      <c r="J62" s="769" t="s">
        <v>61</v>
      </c>
      <c r="K62" s="769" t="s">
        <v>683</v>
      </c>
      <c r="L62" s="770" t="s">
        <v>1442</v>
      </c>
      <c r="M62" s="770">
        <v>59500000</v>
      </c>
      <c r="N62" s="771"/>
      <c r="O62" s="770">
        <f t="shared" si="4"/>
        <v>59500000</v>
      </c>
      <c r="P62" s="768" t="s">
        <v>1165</v>
      </c>
      <c r="Q62" s="769" t="s">
        <v>1457</v>
      </c>
      <c r="R62" s="769" t="s">
        <v>1305</v>
      </c>
      <c r="S62" s="769" t="s">
        <v>1440</v>
      </c>
      <c r="T62" s="769" t="s">
        <v>1458</v>
      </c>
      <c r="U62" s="769" t="s">
        <v>36</v>
      </c>
      <c r="V62" s="769" t="s">
        <v>36</v>
      </c>
      <c r="W62" s="769" t="s">
        <v>36</v>
      </c>
      <c r="X62" s="768" t="s">
        <v>1166</v>
      </c>
      <c r="Y62" s="767">
        <v>43122</v>
      </c>
      <c r="Z62" s="767">
        <v>43333</v>
      </c>
      <c r="AA62" s="772">
        <f t="shared" si="0"/>
        <v>211</v>
      </c>
      <c r="AB62" s="768" t="s">
        <v>148</v>
      </c>
      <c r="AC62" s="767">
        <f t="shared" si="1"/>
        <v>43333</v>
      </c>
      <c r="AD62" s="769" t="s">
        <v>815</v>
      </c>
      <c r="AE62" s="773" t="s">
        <v>816</v>
      </c>
      <c r="AF62" s="773"/>
      <c r="AG62" s="779"/>
      <c r="AH62" s="769"/>
      <c r="AI62" s="769"/>
      <c r="AJ62" s="774">
        <f t="shared" ca="1" si="3"/>
        <v>18.009478672985782</v>
      </c>
      <c r="AK62" s="775"/>
      <c r="AL62" s="776" t="str">
        <f t="shared" si="2"/>
        <v>15618</v>
      </c>
    </row>
    <row r="63" spans="1:38" ht="170.25" customHeight="1" x14ac:dyDescent="0.25">
      <c r="A63" s="778">
        <v>162</v>
      </c>
      <c r="B63" s="763" t="s">
        <v>1104</v>
      </c>
      <c r="C63" s="764" t="s">
        <v>1105</v>
      </c>
      <c r="D63" s="765">
        <f>+COUNTIF(C:C,C:C)</f>
        <v>1</v>
      </c>
      <c r="E63" s="766" t="s">
        <v>1287</v>
      </c>
      <c r="F63" s="766">
        <v>19440982</v>
      </c>
      <c r="G63" s="766" t="s">
        <v>1299</v>
      </c>
      <c r="H63" s="767">
        <v>43111</v>
      </c>
      <c r="I63" s="768" t="s">
        <v>1106</v>
      </c>
      <c r="J63" s="769" t="s">
        <v>61</v>
      </c>
      <c r="K63" s="769" t="s">
        <v>683</v>
      </c>
      <c r="L63" s="770" t="s">
        <v>1459</v>
      </c>
      <c r="M63" s="770">
        <v>45927500</v>
      </c>
      <c r="N63" s="771"/>
      <c r="O63" s="770">
        <f t="shared" si="4"/>
        <v>45927500</v>
      </c>
      <c r="P63" s="768" t="s">
        <v>1107</v>
      </c>
      <c r="Q63" s="769" t="s">
        <v>1460</v>
      </c>
      <c r="R63" s="769" t="s">
        <v>1291</v>
      </c>
      <c r="S63" s="769" t="s">
        <v>1440</v>
      </c>
      <c r="T63" s="769" t="s">
        <v>1461</v>
      </c>
      <c r="U63" s="769" t="s">
        <v>36</v>
      </c>
      <c r="V63" s="769" t="s">
        <v>36</v>
      </c>
      <c r="W63" s="769" t="s">
        <v>36</v>
      </c>
      <c r="X63" s="768" t="s">
        <v>704</v>
      </c>
      <c r="Y63" s="767">
        <v>43117</v>
      </c>
      <c r="Z63" s="767">
        <v>43267</v>
      </c>
      <c r="AA63" s="772">
        <f t="shared" si="0"/>
        <v>150</v>
      </c>
      <c r="AB63" s="768" t="s">
        <v>148</v>
      </c>
      <c r="AC63" s="767">
        <f t="shared" si="1"/>
        <v>43267</v>
      </c>
      <c r="AD63" s="769" t="s">
        <v>1090</v>
      </c>
      <c r="AE63" s="773" t="s">
        <v>875</v>
      </c>
      <c r="AF63" s="773"/>
      <c r="AG63" s="779"/>
      <c r="AH63" s="769"/>
      <c r="AI63" s="769"/>
      <c r="AJ63" s="774">
        <f t="shared" ca="1" si="3"/>
        <v>28.666666666666668</v>
      </c>
      <c r="AK63" s="775"/>
      <c r="AL63" s="776" t="str">
        <f t="shared" si="2"/>
        <v>13318</v>
      </c>
    </row>
    <row r="64" spans="1:38" ht="170.25" customHeight="1" x14ac:dyDescent="0.25">
      <c r="A64" s="778">
        <v>136</v>
      </c>
      <c r="B64" s="763" t="s">
        <v>1010</v>
      </c>
      <c r="C64" s="764" t="s">
        <v>1011</v>
      </c>
      <c r="D64" s="765">
        <f>+COUNTIF(C:C,C:C)</f>
        <v>1</v>
      </c>
      <c r="E64" s="766" t="s">
        <v>1287</v>
      </c>
      <c r="F64" s="766">
        <v>1020716018</v>
      </c>
      <c r="G64" s="766" t="s">
        <v>1299</v>
      </c>
      <c r="H64" s="767">
        <v>43112</v>
      </c>
      <c r="I64" s="768" t="s">
        <v>1012</v>
      </c>
      <c r="J64" s="769" t="s">
        <v>61</v>
      </c>
      <c r="K64" s="769" t="s">
        <v>683</v>
      </c>
      <c r="L64" s="770" t="s">
        <v>1462</v>
      </c>
      <c r="M64" s="770">
        <v>74256000</v>
      </c>
      <c r="N64" s="771"/>
      <c r="O64" s="770">
        <f t="shared" si="4"/>
        <v>74256000</v>
      </c>
      <c r="P64" s="768" t="s">
        <v>1013</v>
      </c>
      <c r="Q64" s="769" t="s">
        <v>1463</v>
      </c>
      <c r="R64" s="769" t="s">
        <v>1291</v>
      </c>
      <c r="S64" s="769" t="s">
        <v>1440</v>
      </c>
      <c r="T64" s="769" t="s">
        <v>1464</v>
      </c>
      <c r="U64" s="769" t="s">
        <v>36</v>
      </c>
      <c r="V64" s="769" t="s">
        <v>36</v>
      </c>
      <c r="W64" s="769" t="s">
        <v>36</v>
      </c>
      <c r="X64" s="768" t="s">
        <v>980</v>
      </c>
      <c r="Y64" s="767">
        <v>43116</v>
      </c>
      <c r="Z64" s="767">
        <v>43358</v>
      </c>
      <c r="AA64" s="772">
        <f t="shared" si="0"/>
        <v>242</v>
      </c>
      <c r="AB64" s="768" t="s">
        <v>148</v>
      </c>
      <c r="AC64" s="767">
        <f t="shared" si="1"/>
        <v>43358</v>
      </c>
      <c r="AD64" s="769" t="s">
        <v>1014</v>
      </c>
      <c r="AE64" s="773" t="s">
        <v>247</v>
      </c>
      <c r="AF64" s="773"/>
      <c r="AG64" s="779"/>
      <c r="AH64" s="769"/>
      <c r="AI64" s="769"/>
      <c r="AJ64" s="774">
        <f t="shared" ca="1" si="3"/>
        <v>18.181818181818183</v>
      </c>
      <c r="AK64" s="775"/>
      <c r="AL64" s="776" t="str">
        <f t="shared" si="2"/>
        <v>10818</v>
      </c>
    </row>
    <row r="65" spans="1:38" ht="170.25" customHeight="1" x14ac:dyDescent="0.25">
      <c r="A65" s="778">
        <v>150</v>
      </c>
      <c r="B65" s="763" t="s">
        <v>1064</v>
      </c>
      <c r="C65" s="764" t="s">
        <v>1065</v>
      </c>
      <c r="D65" s="765">
        <f>+COUNTIF(C:C,C:C)</f>
        <v>1</v>
      </c>
      <c r="E65" s="766" t="s">
        <v>1287</v>
      </c>
      <c r="F65" s="766">
        <v>1016023567</v>
      </c>
      <c r="G65" s="766" t="s">
        <v>1288</v>
      </c>
      <c r="H65" s="767">
        <v>43112</v>
      </c>
      <c r="I65" s="768" t="s">
        <v>1066</v>
      </c>
      <c r="J65" s="769" t="s">
        <v>61</v>
      </c>
      <c r="K65" s="769" t="s">
        <v>683</v>
      </c>
      <c r="L65" s="770" t="s">
        <v>1465</v>
      </c>
      <c r="M65" s="770">
        <v>29384000</v>
      </c>
      <c r="N65" s="771"/>
      <c r="O65" s="770">
        <f t="shared" si="4"/>
        <v>29384000</v>
      </c>
      <c r="P65" s="768" t="s">
        <v>1067</v>
      </c>
      <c r="Q65" s="769" t="s">
        <v>1466</v>
      </c>
      <c r="R65" s="769" t="s">
        <v>1291</v>
      </c>
      <c r="S65" s="769" t="s">
        <v>1440</v>
      </c>
      <c r="T65" s="769" t="s">
        <v>1467</v>
      </c>
      <c r="U65" s="769" t="s">
        <v>36</v>
      </c>
      <c r="V65" s="769" t="s">
        <v>36</v>
      </c>
      <c r="W65" s="769" t="s">
        <v>36</v>
      </c>
      <c r="X65" s="768" t="s">
        <v>980</v>
      </c>
      <c r="Y65" s="767">
        <v>43116</v>
      </c>
      <c r="Z65" s="767">
        <v>43358</v>
      </c>
      <c r="AA65" s="772">
        <f t="shared" si="0"/>
        <v>242</v>
      </c>
      <c r="AB65" s="768" t="s">
        <v>148</v>
      </c>
      <c r="AC65" s="767">
        <f t="shared" si="1"/>
        <v>43358</v>
      </c>
      <c r="AD65" s="769" t="s">
        <v>1068</v>
      </c>
      <c r="AE65" s="773" t="s">
        <v>849</v>
      </c>
      <c r="AF65" s="773"/>
      <c r="AG65" s="779"/>
      <c r="AH65" s="769"/>
      <c r="AI65" s="769"/>
      <c r="AJ65" s="774">
        <f t="shared" ca="1" si="3"/>
        <v>18.181818181818183</v>
      </c>
      <c r="AK65" s="775"/>
      <c r="AL65" s="776" t="str">
        <f t="shared" si="2"/>
        <v>12118</v>
      </c>
    </row>
    <row r="66" spans="1:38" ht="292.5" customHeight="1" x14ac:dyDescent="0.25">
      <c r="A66" s="778">
        <v>128</v>
      </c>
      <c r="B66" s="763" t="s">
        <v>976</v>
      </c>
      <c r="C66" s="764" t="s">
        <v>977</v>
      </c>
      <c r="D66" s="765">
        <f>+COUNTIF(C:C,C:C)</f>
        <v>1</v>
      </c>
      <c r="E66" s="766" t="s">
        <v>1287</v>
      </c>
      <c r="F66" s="766">
        <v>1024467503</v>
      </c>
      <c r="G66" s="766" t="s">
        <v>1288</v>
      </c>
      <c r="H66" s="767">
        <v>43112</v>
      </c>
      <c r="I66" s="768" t="s">
        <v>978</v>
      </c>
      <c r="J66" s="769" t="s">
        <v>61</v>
      </c>
      <c r="K66" s="769" t="s">
        <v>683</v>
      </c>
      <c r="L66" s="770" t="s">
        <v>1468</v>
      </c>
      <c r="M66" s="770">
        <v>58800000</v>
      </c>
      <c r="N66" s="771"/>
      <c r="O66" s="770">
        <f t="shared" si="4"/>
        <v>58800000</v>
      </c>
      <c r="P66" s="768" t="s">
        <v>979</v>
      </c>
      <c r="Q66" s="769" t="s">
        <v>1469</v>
      </c>
      <c r="R66" s="769" t="s">
        <v>1291</v>
      </c>
      <c r="S66" s="769" t="s">
        <v>1440</v>
      </c>
      <c r="T66" s="769" t="s">
        <v>1470</v>
      </c>
      <c r="U66" s="769" t="s">
        <v>36</v>
      </c>
      <c r="V66" s="769" t="s">
        <v>36</v>
      </c>
      <c r="W66" s="769" t="s">
        <v>36</v>
      </c>
      <c r="X66" s="768" t="s">
        <v>980</v>
      </c>
      <c r="Y66" s="767">
        <v>43116</v>
      </c>
      <c r="Z66" s="767">
        <v>43358</v>
      </c>
      <c r="AA66" s="772">
        <f t="shared" ref="AA66:AA129" si="5">Z66-Y66</f>
        <v>242</v>
      </c>
      <c r="AB66" s="768" t="s">
        <v>148</v>
      </c>
      <c r="AC66" s="767">
        <f t="shared" ref="AC66:AC129" si="6">Z66</f>
        <v>43358</v>
      </c>
      <c r="AD66" s="769" t="s">
        <v>859</v>
      </c>
      <c r="AE66" s="773" t="s">
        <v>854</v>
      </c>
      <c r="AF66" s="773"/>
      <c r="AG66" s="779"/>
      <c r="AH66" s="769"/>
      <c r="AI66" s="769"/>
      <c r="AJ66" s="774">
        <f t="shared" ca="1" si="3"/>
        <v>18.181818181818183</v>
      </c>
      <c r="AK66" s="775"/>
      <c r="AL66" s="776" t="str">
        <f t="shared" si="2"/>
        <v>10018</v>
      </c>
    </row>
    <row r="67" spans="1:38" ht="170.25" customHeight="1" x14ac:dyDescent="0.25">
      <c r="A67" s="778">
        <v>138</v>
      </c>
      <c r="B67" s="763" t="s">
        <v>1019</v>
      </c>
      <c r="C67" s="764" t="s">
        <v>281</v>
      </c>
      <c r="D67" s="765">
        <f>+COUNTIF(C:C,C:C)</f>
        <v>1</v>
      </c>
      <c r="E67" s="766" t="s">
        <v>1287</v>
      </c>
      <c r="F67" s="766">
        <v>1075655422</v>
      </c>
      <c r="G67" s="766" t="s">
        <v>1288</v>
      </c>
      <c r="H67" s="767">
        <v>43112</v>
      </c>
      <c r="I67" s="768" t="s">
        <v>1017</v>
      </c>
      <c r="J67" s="769" t="s">
        <v>61</v>
      </c>
      <c r="K67" s="769" t="s">
        <v>683</v>
      </c>
      <c r="L67" s="770" t="s">
        <v>1471</v>
      </c>
      <c r="M67" s="770">
        <v>41848000</v>
      </c>
      <c r="N67" s="771"/>
      <c r="O67" s="770">
        <f t="shared" si="4"/>
        <v>41848000</v>
      </c>
      <c r="P67" s="768" t="s">
        <v>1020</v>
      </c>
      <c r="Q67" s="769" t="s">
        <v>1472</v>
      </c>
      <c r="R67" s="769" t="s">
        <v>1291</v>
      </c>
      <c r="S67" s="769" t="s">
        <v>1440</v>
      </c>
      <c r="T67" s="769" t="s">
        <v>1473</v>
      </c>
      <c r="U67" s="769" t="s">
        <v>36</v>
      </c>
      <c r="V67" s="769" t="s">
        <v>36</v>
      </c>
      <c r="W67" s="769" t="s">
        <v>36</v>
      </c>
      <c r="X67" s="768" t="s">
        <v>980</v>
      </c>
      <c r="Y67" s="767">
        <v>43116</v>
      </c>
      <c r="Z67" s="767">
        <v>43358</v>
      </c>
      <c r="AA67" s="772">
        <f t="shared" si="5"/>
        <v>242</v>
      </c>
      <c r="AB67" s="768" t="s">
        <v>148</v>
      </c>
      <c r="AC67" s="767">
        <f t="shared" si="6"/>
        <v>43358</v>
      </c>
      <c r="AD67" s="769" t="s">
        <v>781</v>
      </c>
      <c r="AE67" s="773" t="s">
        <v>782</v>
      </c>
      <c r="AF67" s="773"/>
      <c r="AG67" s="779"/>
      <c r="AH67" s="769"/>
      <c r="AI67" s="769"/>
      <c r="AJ67" s="774">
        <f t="shared" ca="1" si="3"/>
        <v>18.181818181818183</v>
      </c>
      <c r="AK67" s="775"/>
      <c r="AL67" s="776" t="str">
        <f t="shared" ref="AL67:AL130" si="7">+MID(Q67,1,5)</f>
        <v>11018</v>
      </c>
    </row>
    <row r="68" spans="1:38" ht="170.25" customHeight="1" x14ac:dyDescent="0.25">
      <c r="A68" s="778">
        <v>157</v>
      </c>
      <c r="B68" s="763" t="s">
        <v>1086</v>
      </c>
      <c r="C68" s="764" t="s">
        <v>1087</v>
      </c>
      <c r="D68" s="765">
        <f>+COUNTIF(C:C,C:C)</f>
        <v>1</v>
      </c>
      <c r="E68" s="766" t="s">
        <v>1287</v>
      </c>
      <c r="F68" s="766">
        <v>53028154</v>
      </c>
      <c r="G68" s="766" t="s">
        <v>1288</v>
      </c>
      <c r="H68" s="767">
        <v>43112</v>
      </c>
      <c r="I68" s="768" t="s">
        <v>1088</v>
      </c>
      <c r="J68" s="769" t="s">
        <v>61</v>
      </c>
      <c r="K68" s="769" t="s">
        <v>683</v>
      </c>
      <c r="L68" s="770" t="s">
        <v>1474</v>
      </c>
      <c r="M68" s="770">
        <v>35616000</v>
      </c>
      <c r="N68" s="771"/>
      <c r="O68" s="770">
        <f t="shared" si="4"/>
        <v>35616000</v>
      </c>
      <c r="P68" s="768" t="s">
        <v>1089</v>
      </c>
      <c r="Q68" s="769" t="s">
        <v>1475</v>
      </c>
      <c r="R68" s="769" t="s">
        <v>1291</v>
      </c>
      <c r="S68" s="769" t="s">
        <v>1440</v>
      </c>
      <c r="T68" s="769" t="s">
        <v>1476</v>
      </c>
      <c r="U68" s="769" t="s">
        <v>36</v>
      </c>
      <c r="V68" s="769" t="s">
        <v>36</v>
      </c>
      <c r="W68" s="769" t="s">
        <v>36</v>
      </c>
      <c r="X68" s="768" t="s">
        <v>980</v>
      </c>
      <c r="Y68" s="767">
        <v>43116</v>
      </c>
      <c r="Z68" s="767">
        <v>43358</v>
      </c>
      <c r="AA68" s="772">
        <f t="shared" si="5"/>
        <v>242</v>
      </c>
      <c r="AB68" s="768" t="s">
        <v>148</v>
      </c>
      <c r="AC68" s="767">
        <f t="shared" si="6"/>
        <v>43358</v>
      </c>
      <c r="AD68" s="769" t="s">
        <v>1090</v>
      </c>
      <c r="AE68" s="773" t="s">
        <v>875</v>
      </c>
      <c r="AF68" s="773"/>
      <c r="AG68" s="779"/>
      <c r="AH68" s="769"/>
      <c r="AI68" s="769"/>
      <c r="AJ68" s="774">
        <f t="shared" ref="AJ68:AJ131" ca="1" si="8">($AK$2-Y68)/(AC68-Y68)*100</f>
        <v>18.181818181818183</v>
      </c>
      <c r="AK68" s="775"/>
      <c r="AL68" s="776" t="str">
        <f t="shared" si="7"/>
        <v>12818</v>
      </c>
    </row>
    <row r="69" spans="1:38" ht="170.25" customHeight="1" x14ac:dyDescent="0.25">
      <c r="A69" s="778">
        <v>184</v>
      </c>
      <c r="B69" s="763" t="s">
        <v>1175</v>
      </c>
      <c r="C69" s="764" t="s">
        <v>1176</v>
      </c>
      <c r="D69" s="765">
        <f>+COUNTIF(C:C,C:C)</f>
        <v>1</v>
      </c>
      <c r="E69" s="766" t="s">
        <v>1287</v>
      </c>
      <c r="F69" s="766">
        <v>60342105</v>
      </c>
      <c r="G69" s="766" t="s">
        <v>1288</v>
      </c>
      <c r="H69" s="767">
        <v>43115</v>
      </c>
      <c r="I69" s="768" t="s">
        <v>1164</v>
      </c>
      <c r="J69" s="769" t="s">
        <v>61</v>
      </c>
      <c r="K69" s="769" t="s">
        <v>683</v>
      </c>
      <c r="L69" s="770" t="s">
        <v>1442</v>
      </c>
      <c r="M69" s="770">
        <v>59500000</v>
      </c>
      <c r="N69" s="771"/>
      <c r="O69" s="770">
        <f t="shared" si="4"/>
        <v>59500000</v>
      </c>
      <c r="P69" s="768" t="s">
        <v>1165</v>
      </c>
      <c r="Q69" s="769" t="s">
        <v>1477</v>
      </c>
      <c r="R69" s="769" t="s">
        <v>1305</v>
      </c>
      <c r="S69" s="769" t="s">
        <v>1440</v>
      </c>
      <c r="T69" s="769" t="s">
        <v>1478</v>
      </c>
      <c r="U69" s="769" t="s">
        <v>36</v>
      </c>
      <c r="V69" s="769" t="s">
        <v>36</v>
      </c>
      <c r="W69" s="769" t="s">
        <v>36</v>
      </c>
      <c r="X69" s="768" t="s">
        <v>1166</v>
      </c>
      <c r="Y69" s="767">
        <v>43122</v>
      </c>
      <c r="Z69" s="767">
        <v>43333</v>
      </c>
      <c r="AA69" s="772">
        <f t="shared" si="5"/>
        <v>211</v>
      </c>
      <c r="AB69" s="768" t="s">
        <v>148</v>
      </c>
      <c r="AC69" s="767">
        <f t="shared" si="6"/>
        <v>43333</v>
      </c>
      <c r="AD69" s="769" t="s">
        <v>815</v>
      </c>
      <c r="AE69" s="773" t="s">
        <v>816</v>
      </c>
      <c r="AF69" s="773"/>
      <c r="AG69" s="779"/>
      <c r="AH69" s="769"/>
      <c r="AI69" s="769"/>
      <c r="AJ69" s="774">
        <f t="shared" ca="1" si="8"/>
        <v>18.009478672985782</v>
      </c>
      <c r="AK69" s="775"/>
      <c r="AL69" s="776" t="str">
        <f t="shared" si="7"/>
        <v>15518</v>
      </c>
    </row>
    <row r="70" spans="1:38" ht="170.25" customHeight="1" x14ac:dyDescent="0.25">
      <c r="A70" s="778">
        <v>193</v>
      </c>
      <c r="B70" s="763" t="s">
        <v>1193</v>
      </c>
      <c r="C70" s="764" t="s">
        <v>1194</v>
      </c>
      <c r="D70" s="765">
        <f>+COUNTIF(C:C,C:C)</f>
        <v>1</v>
      </c>
      <c r="E70" s="766" t="s">
        <v>1287</v>
      </c>
      <c r="F70" s="766">
        <v>1120561450</v>
      </c>
      <c r="G70" s="766" t="s">
        <v>1288</v>
      </c>
      <c r="H70" s="767">
        <v>43115</v>
      </c>
      <c r="I70" s="768" t="s">
        <v>1164</v>
      </c>
      <c r="J70" s="769" t="s">
        <v>61</v>
      </c>
      <c r="K70" s="769" t="s">
        <v>683</v>
      </c>
      <c r="L70" s="770" t="s">
        <v>1442</v>
      </c>
      <c r="M70" s="770">
        <v>59500000</v>
      </c>
      <c r="N70" s="771"/>
      <c r="O70" s="770">
        <f t="shared" si="4"/>
        <v>59500000</v>
      </c>
      <c r="P70" s="768" t="s">
        <v>1165</v>
      </c>
      <c r="Q70" s="769" t="s">
        <v>1479</v>
      </c>
      <c r="R70" s="769" t="s">
        <v>1305</v>
      </c>
      <c r="S70" s="769" t="s">
        <v>1440</v>
      </c>
      <c r="T70" s="769" t="s">
        <v>1480</v>
      </c>
      <c r="U70" s="769" t="s">
        <v>36</v>
      </c>
      <c r="V70" s="769" t="s">
        <v>36</v>
      </c>
      <c r="W70" s="769" t="s">
        <v>36</v>
      </c>
      <c r="X70" s="768" t="s">
        <v>1166</v>
      </c>
      <c r="Y70" s="767">
        <v>43122</v>
      </c>
      <c r="Z70" s="767">
        <v>43333</v>
      </c>
      <c r="AA70" s="772">
        <f t="shared" si="5"/>
        <v>211</v>
      </c>
      <c r="AB70" s="768" t="s">
        <v>148</v>
      </c>
      <c r="AC70" s="767">
        <f t="shared" si="6"/>
        <v>43333</v>
      </c>
      <c r="AD70" s="769" t="s">
        <v>815</v>
      </c>
      <c r="AE70" s="773" t="s">
        <v>816</v>
      </c>
      <c r="AF70" s="773"/>
      <c r="AG70" s="779"/>
      <c r="AH70" s="769"/>
      <c r="AI70" s="769"/>
      <c r="AJ70" s="774">
        <f t="shared" ca="1" si="8"/>
        <v>18.009478672985782</v>
      </c>
      <c r="AK70" s="775"/>
      <c r="AL70" s="776" t="str">
        <f t="shared" si="7"/>
        <v>16418</v>
      </c>
    </row>
    <row r="71" spans="1:38" ht="170.25" customHeight="1" x14ac:dyDescent="0.25">
      <c r="A71" s="778">
        <v>189</v>
      </c>
      <c r="B71" s="763" t="s">
        <v>1185</v>
      </c>
      <c r="C71" s="764" t="s">
        <v>1186</v>
      </c>
      <c r="D71" s="765">
        <f>+COUNTIF(C:C,C:C)</f>
        <v>1</v>
      </c>
      <c r="E71" s="766" t="s">
        <v>1287</v>
      </c>
      <c r="F71" s="766">
        <v>35253491</v>
      </c>
      <c r="G71" s="766" t="s">
        <v>1288</v>
      </c>
      <c r="H71" s="767">
        <v>43115</v>
      </c>
      <c r="I71" s="768" t="s">
        <v>1164</v>
      </c>
      <c r="J71" s="769" t="s">
        <v>61</v>
      </c>
      <c r="K71" s="769" t="s">
        <v>683</v>
      </c>
      <c r="L71" s="770" t="s">
        <v>1442</v>
      </c>
      <c r="M71" s="770">
        <v>59500000</v>
      </c>
      <c r="N71" s="771"/>
      <c r="O71" s="770">
        <f t="shared" ref="O71:O134" si="9">M71</f>
        <v>59500000</v>
      </c>
      <c r="P71" s="768" t="s">
        <v>1165</v>
      </c>
      <c r="Q71" s="769" t="s">
        <v>1481</v>
      </c>
      <c r="R71" s="769" t="s">
        <v>1305</v>
      </c>
      <c r="S71" s="769" t="s">
        <v>1440</v>
      </c>
      <c r="T71" s="769" t="s">
        <v>1482</v>
      </c>
      <c r="U71" s="769" t="s">
        <v>36</v>
      </c>
      <c r="V71" s="769" t="s">
        <v>36</v>
      </c>
      <c r="W71" s="769" t="s">
        <v>36</v>
      </c>
      <c r="X71" s="768" t="s">
        <v>1166</v>
      </c>
      <c r="Y71" s="767">
        <v>43122</v>
      </c>
      <c r="Z71" s="767">
        <v>43333</v>
      </c>
      <c r="AA71" s="772">
        <f t="shared" si="5"/>
        <v>211</v>
      </c>
      <c r="AB71" s="768" t="s">
        <v>148</v>
      </c>
      <c r="AC71" s="767">
        <f t="shared" si="6"/>
        <v>43333</v>
      </c>
      <c r="AD71" s="769" t="s">
        <v>815</v>
      </c>
      <c r="AE71" s="773" t="s">
        <v>816</v>
      </c>
      <c r="AF71" s="773"/>
      <c r="AG71" s="779"/>
      <c r="AH71" s="769"/>
      <c r="AI71" s="769"/>
      <c r="AJ71" s="774">
        <f t="shared" ca="1" si="8"/>
        <v>18.009478672985782</v>
      </c>
      <c r="AK71" s="775"/>
      <c r="AL71" s="776" t="str">
        <f t="shared" si="7"/>
        <v>16018</v>
      </c>
    </row>
    <row r="72" spans="1:38" ht="170.25" customHeight="1" x14ac:dyDescent="0.25">
      <c r="A72" s="778">
        <v>192</v>
      </c>
      <c r="B72" s="763" t="s">
        <v>1191</v>
      </c>
      <c r="C72" s="764" t="s">
        <v>1192</v>
      </c>
      <c r="D72" s="765">
        <f>+COUNTIF(C:C,C:C)</f>
        <v>1</v>
      </c>
      <c r="E72" s="766" t="s">
        <v>1287</v>
      </c>
      <c r="F72" s="766">
        <v>43277960</v>
      </c>
      <c r="G72" s="766" t="s">
        <v>1288</v>
      </c>
      <c r="H72" s="767">
        <v>43115</v>
      </c>
      <c r="I72" s="768" t="s">
        <v>1164</v>
      </c>
      <c r="J72" s="769" t="s">
        <v>61</v>
      </c>
      <c r="K72" s="769" t="s">
        <v>683</v>
      </c>
      <c r="L72" s="770" t="s">
        <v>1442</v>
      </c>
      <c r="M72" s="770">
        <v>59500000</v>
      </c>
      <c r="N72" s="771"/>
      <c r="O72" s="770">
        <f t="shared" si="9"/>
        <v>59500000</v>
      </c>
      <c r="P72" s="768" t="s">
        <v>1165</v>
      </c>
      <c r="Q72" s="769" t="s">
        <v>1483</v>
      </c>
      <c r="R72" s="769" t="s">
        <v>1305</v>
      </c>
      <c r="S72" s="769" t="s">
        <v>1440</v>
      </c>
      <c r="T72" s="769" t="s">
        <v>1484</v>
      </c>
      <c r="U72" s="769" t="s">
        <v>36</v>
      </c>
      <c r="V72" s="769" t="s">
        <v>36</v>
      </c>
      <c r="W72" s="769" t="s">
        <v>36</v>
      </c>
      <c r="X72" s="768" t="s">
        <v>1166</v>
      </c>
      <c r="Y72" s="767">
        <v>43122</v>
      </c>
      <c r="Z72" s="767">
        <v>43333</v>
      </c>
      <c r="AA72" s="772">
        <f t="shared" si="5"/>
        <v>211</v>
      </c>
      <c r="AB72" s="768" t="s">
        <v>148</v>
      </c>
      <c r="AC72" s="767">
        <f t="shared" si="6"/>
        <v>43333</v>
      </c>
      <c r="AD72" s="769" t="s">
        <v>815</v>
      </c>
      <c r="AE72" s="773" t="s">
        <v>816</v>
      </c>
      <c r="AF72" s="773"/>
      <c r="AG72" s="779"/>
      <c r="AH72" s="769"/>
      <c r="AI72" s="769"/>
      <c r="AJ72" s="774">
        <f t="shared" ca="1" si="8"/>
        <v>18.009478672985782</v>
      </c>
      <c r="AK72" s="775"/>
      <c r="AL72" s="776" t="str">
        <f t="shared" si="7"/>
        <v>16318</v>
      </c>
    </row>
    <row r="73" spans="1:38" ht="170.25" customHeight="1" x14ac:dyDescent="0.25">
      <c r="A73" s="778">
        <v>191</v>
      </c>
      <c r="B73" s="763" t="s">
        <v>1189</v>
      </c>
      <c r="C73" s="764" t="s">
        <v>1190</v>
      </c>
      <c r="D73" s="765">
        <f>+COUNTIF(C:C,C:C)</f>
        <v>1</v>
      </c>
      <c r="E73" s="766" t="s">
        <v>1287</v>
      </c>
      <c r="F73" s="766">
        <v>42144704</v>
      </c>
      <c r="G73" s="766" t="s">
        <v>1288</v>
      </c>
      <c r="H73" s="767">
        <v>43115</v>
      </c>
      <c r="I73" s="768" t="s">
        <v>1164</v>
      </c>
      <c r="J73" s="769" t="s">
        <v>61</v>
      </c>
      <c r="K73" s="769" t="s">
        <v>683</v>
      </c>
      <c r="L73" s="770" t="s">
        <v>1442</v>
      </c>
      <c r="M73" s="770">
        <v>59500000</v>
      </c>
      <c r="N73" s="771"/>
      <c r="O73" s="770">
        <f t="shared" si="9"/>
        <v>59500000</v>
      </c>
      <c r="P73" s="768" t="s">
        <v>1165</v>
      </c>
      <c r="Q73" s="769" t="s">
        <v>1485</v>
      </c>
      <c r="R73" s="769" t="s">
        <v>1305</v>
      </c>
      <c r="S73" s="769" t="s">
        <v>1440</v>
      </c>
      <c r="T73" s="769" t="s">
        <v>1486</v>
      </c>
      <c r="U73" s="769" t="s">
        <v>36</v>
      </c>
      <c r="V73" s="769" t="s">
        <v>36</v>
      </c>
      <c r="W73" s="769" t="s">
        <v>36</v>
      </c>
      <c r="X73" s="768" t="s">
        <v>1166</v>
      </c>
      <c r="Y73" s="767">
        <v>43122</v>
      </c>
      <c r="Z73" s="767">
        <v>43333</v>
      </c>
      <c r="AA73" s="772">
        <f t="shared" si="5"/>
        <v>211</v>
      </c>
      <c r="AB73" s="768" t="s">
        <v>148</v>
      </c>
      <c r="AC73" s="767">
        <f t="shared" si="6"/>
        <v>43333</v>
      </c>
      <c r="AD73" s="769" t="s">
        <v>815</v>
      </c>
      <c r="AE73" s="773" t="s">
        <v>816</v>
      </c>
      <c r="AF73" s="773"/>
      <c r="AG73" s="779"/>
      <c r="AH73" s="769"/>
      <c r="AI73" s="769"/>
      <c r="AJ73" s="774">
        <f t="shared" ca="1" si="8"/>
        <v>18.009478672985782</v>
      </c>
      <c r="AK73" s="775"/>
      <c r="AL73" s="776" t="str">
        <f t="shared" si="7"/>
        <v>16218</v>
      </c>
    </row>
    <row r="74" spans="1:38" ht="170.25" customHeight="1" x14ac:dyDescent="0.25">
      <c r="A74" s="778">
        <v>181</v>
      </c>
      <c r="B74" s="763" t="s">
        <v>1167</v>
      </c>
      <c r="C74" s="764" t="s">
        <v>1168</v>
      </c>
      <c r="D74" s="765">
        <f>+COUNTIF(C:C,C:C)</f>
        <v>1</v>
      </c>
      <c r="E74" s="766" t="s">
        <v>1287</v>
      </c>
      <c r="F74" s="766">
        <v>52340300</v>
      </c>
      <c r="G74" s="766" t="s">
        <v>1288</v>
      </c>
      <c r="H74" s="767">
        <v>43115</v>
      </c>
      <c r="I74" s="768" t="s">
        <v>1164</v>
      </c>
      <c r="J74" s="769" t="s">
        <v>61</v>
      </c>
      <c r="K74" s="769" t="s">
        <v>683</v>
      </c>
      <c r="L74" s="770" t="s">
        <v>1442</v>
      </c>
      <c r="M74" s="770">
        <v>59500000</v>
      </c>
      <c r="N74" s="771"/>
      <c r="O74" s="770">
        <f t="shared" si="9"/>
        <v>59500000</v>
      </c>
      <c r="P74" s="768" t="s">
        <v>1165</v>
      </c>
      <c r="Q74" s="769" t="s">
        <v>1487</v>
      </c>
      <c r="R74" s="769" t="s">
        <v>1305</v>
      </c>
      <c r="S74" s="769" t="s">
        <v>1440</v>
      </c>
      <c r="T74" s="769" t="s">
        <v>1488</v>
      </c>
      <c r="U74" s="769" t="s">
        <v>36</v>
      </c>
      <c r="V74" s="769" t="s">
        <v>36</v>
      </c>
      <c r="W74" s="769" t="s">
        <v>36</v>
      </c>
      <c r="X74" s="768" t="s">
        <v>1166</v>
      </c>
      <c r="Y74" s="767">
        <v>43122</v>
      </c>
      <c r="Z74" s="767">
        <v>43333</v>
      </c>
      <c r="AA74" s="772">
        <f t="shared" si="5"/>
        <v>211</v>
      </c>
      <c r="AB74" s="768" t="s">
        <v>148</v>
      </c>
      <c r="AC74" s="767">
        <f t="shared" si="6"/>
        <v>43333</v>
      </c>
      <c r="AD74" s="769" t="s">
        <v>815</v>
      </c>
      <c r="AE74" s="773" t="s">
        <v>816</v>
      </c>
      <c r="AF74" s="773"/>
      <c r="AG74" s="779"/>
      <c r="AH74" s="769"/>
      <c r="AI74" s="769"/>
      <c r="AJ74" s="774">
        <f t="shared" ca="1" si="8"/>
        <v>18.009478672985782</v>
      </c>
      <c r="AK74" s="775"/>
      <c r="AL74" s="776" t="str">
        <f t="shared" si="7"/>
        <v>15218</v>
      </c>
    </row>
    <row r="75" spans="1:38" ht="170.25" customHeight="1" x14ac:dyDescent="0.25">
      <c r="A75" s="778">
        <v>190</v>
      </c>
      <c r="B75" s="763" t="s">
        <v>1187</v>
      </c>
      <c r="C75" s="764" t="s">
        <v>1188</v>
      </c>
      <c r="D75" s="765">
        <f>+COUNTIF(C:C,C:C)</f>
        <v>1</v>
      </c>
      <c r="E75" s="766" t="s">
        <v>1287</v>
      </c>
      <c r="F75" s="766">
        <v>87065770</v>
      </c>
      <c r="G75" s="766" t="s">
        <v>1299</v>
      </c>
      <c r="H75" s="767">
        <v>43115</v>
      </c>
      <c r="I75" s="768" t="s">
        <v>1164</v>
      </c>
      <c r="J75" s="769" t="s">
        <v>61</v>
      </c>
      <c r="K75" s="769" t="s">
        <v>683</v>
      </c>
      <c r="L75" s="770" t="s">
        <v>1442</v>
      </c>
      <c r="M75" s="770">
        <v>59500000</v>
      </c>
      <c r="N75" s="771"/>
      <c r="O75" s="770">
        <f t="shared" si="9"/>
        <v>59500000</v>
      </c>
      <c r="P75" s="768" t="s">
        <v>1165</v>
      </c>
      <c r="Q75" s="769" t="s">
        <v>1489</v>
      </c>
      <c r="R75" s="769" t="s">
        <v>1305</v>
      </c>
      <c r="S75" s="769" t="s">
        <v>1440</v>
      </c>
      <c r="T75" s="769" t="s">
        <v>1490</v>
      </c>
      <c r="U75" s="769" t="s">
        <v>36</v>
      </c>
      <c r="V75" s="769" t="s">
        <v>36</v>
      </c>
      <c r="W75" s="769" t="s">
        <v>36</v>
      </c>
      <c r="X75" s="768" t="s">
        <v>1166</v>
      </c>
      <c r="Y75" s="767">
        <v>43122</v>
      </c>
      <c r="Z75" s="767">
        <v>43333</v>
      </c>
      <c r="AA75" s="772">
        <f t="shared" si="5"/>
        <v>211</v>
      </c>
      <c r="AB75" s="768" t="s">
        <v>148</v>
      </c>
      <c r="AC75" s="767">
        <f t="shared" si="6"/>
        <v>43333</v>
      </c>
      <c r="AD75" s="769" t="s">
        <v>815</v>
      </c>
      <c r="AE75" s="773" t="s">
        <v>816</v>
      </c>
      <c r="AF75" s="773"/>
      <c r="AG75" s="779"/>
      <c r="AH75" s="769"/>
      <c r="AI75" s="769"/>
      <c r="AJ75" s="774">
        <f t="shared" ca="1" si="8"/>
        <v>18.009478672985782</v>
      </c>
      <c r="AK75" s="775"/>
      <c r="AL75" s="776" t="str">
        <f t="shared" si="7"/>
        <v>16118</v>
      </c>
    </row>
    <row r="76" spans="1:38" ht="170.25" customHeight="1" x14ac:dyDescent="0.25">
      <c r="A76" s="778">
        <v>170</v>
      </c>
      <c r="B76" s="763" t="s">
        <v>1136</v>
      </c>
      <c r="C76" s="764" t="s">
        <v>1137</v>
      </c>
      <c r="D76" s="765">
        <f>+COUNTIF(C:C,C:C)</f>
        <v>1</v>
      </c>
      <c r="E76" s="766" t="s">
        <v>1287</v>
      </c>
      <c r="F76" s="766">
        <v>41747151</v>
      </c>
      <c r="G76" s="766" t="s">
        <v>1288</v>
      </c>
      <c r="H76" s="767">
        <v>43115</v>
      </c>
      <c r="I76" s="768" t="s">
        <v>1134</v>
      </c>
      <c r="J76" s="769" t="s">
        <v>61</v>
      </c>
      <c r="K76" s="769" t="s">
        <v>683</v>
      </c>
      <c r="L76" s="770" t="s">
        <v>1491</v>
      </c>
      <c r="M76" s="770">
        <v>72000000</v>
      </c>
      <c r="N76" s="771"/>
      <c r="O76" s="770">
        <f t="shared" si="9"/>
        <v>72000000</v>
      </c>
      <c r="P76" s="768" t="s">
        <v>1135</v>
      </c>
      <c r="Q76" s="769" t="s">
        <v>1492</v>
      </c>
      <c r="R76" s="769" t="s">
        <v>1305</v>
      </c>
      <c r="S76" s="769" t="s">
        <v>1440</v>
      </c>
      <c r="T76" s="769" t="s">
        <v>1493</v>
      </c>
      <c r="U76" s="769" t="s">
        <v>36</v>
      </c>
      <c r="V76" s="769" t="s">
        <v>36</v>
      </c>
      <c r="W76" s="769" t="s">
        <v>36</v>
      </c>
      <c r="X76" s="768" t="s">
        <v>985</v>
      </c>
      <c r="Y76" s="767">
        <v>43122</v>
      </c>
      <c r="Z76" s="767">
        <v>43364</v>
      </c>
      <c r="AA76" s="772">
        <f t="shared" si="5"/>
        <v>242</v>
      </c>
      <c r="AB76" s="768" t="s">
        <v>148</v>
      </c>
      <c r="AC76" s="767">
        <f t="shared" si="6"/>
        <v>43364</v>
      </c>
      <c r="AD76" s="769" t="s">
        <v>815</v>
      </c>
      <c r="AE76" s="773" t="s">
        <v>816</v>
      </c>
      <c r="AF76" s="773"/>
      <c r="AG76" s="779"/>
      <c r="AH76" s="769"/>
      <c r="AI76" s="769"/>
      <c r="AJ76" s="774">
        <f t="shared" ca="1" si="8"/>
        <v>15.702479338842975</v>
      </c>
      <c r="AK76" s="775"/>
      <c r="AL76" s="776" t="str">
        <f t="shared" si="7"/>
        <v>14118</v>
      </c>
    </row>
    <row r="77" spans="1:38" ht="170.25" customHeight="1" x14ac:dyDescent="0.25">
      <c r="A77" s="778">
        <v>121</v>
      </c>
      <c r="B77" s="763" t="s">
        <v>947</v>
      </c>
      <c r="C77" s="764" t="s">
        <v>298</v>
      </c>
      <c r="D77" s="765">
        <f>+COUNTIF(C:C,C:C)</f>
        <v>1</v>
      </c>
      <c r="E77" s="766" t="s">
        <v>1287</v>
      </c>
      <c r="F77" s="766">
        <v>1020740417</v>
      </c>
      <c r="G77" s="766" t="s">
        <v>1299</v>
      </c>
      <c r="H77" s="767">
        <v>43115</v>
      </c>
      <c r="I77" s="768" t="s">
        <v>948</v>
      </c>
      <c r="J77" s="769" t="s">
        <v>61</v>
      </c>
      <c r="K77" s="769" t="s">
        <v>683</v>
      </c>
      <c r="L77" s="770" t="s">
        <v>1494</v>
      </c>
      <c r="M77" s="770">
        <v>10000000</v>
      </c>
      <c r="N77" s="771"/>
      <c r="O77" s="770">
        <f t="shared" si="9"/>
        <v>10000000</v>
      </c>
      <c r="P77" s="768" t="s">
        <v>949</v>
      </c>
      <c r="Q77" s="769" t="s">
        <v>1495</v>
      </c>
      <c r="R77" s="769" t="s">
        <v>1291</v>
      </c>
      <c r="S77" s="769" t="s">
        <v>1440</v>
      </c>
      <c r="T77" s="769" t="s">
        <v>1496</v>
      </c>
      <c r="U77" s="769" t="s">
        <v>36</v>
      </c>
      <c r="V77" s="769" t="s">
        <v>36</v>
      </c>
      <c r="W77" s="769" t="s">
        <v>36</v>
      </c>
      <c r="X77" s="768" t="s">
        <v>704</v>
      </c>
      <c r="Y77" s="767">
        <v>43116</v>
      </c>
      <c r="Z77" s="767">
        <v>43266</v>
      </c>
      <c r="AA77" s="772">
        <f t="shared" si="5"/>
        <v>150</v>
      </c>
      <c r="AB77" s="768" t="s">
        <v>148</v>
      </c>
      <c r="AC77" s="767">
        <f t="shared" si="6"/>
        <v>43266</v>
      </c>
      <c r="AD77" s="769" t="s">
        <v>950</v>
      </c>
      <c r="AE77" s="773" t="s">
        <v>693</v>
      </c>
      <c r="AF77" s="773"/>
      <c r="AG77" s="779"/>
      <c r="AH77" s="769"/>
      <c r="AI77" s="769"/>
      <c r="AJ77" s="774">
        <f t="shared" ca="1" si="8"/>
        <v>29.333333333333332</v>
      </c>
      <c r="AK77" s="775"/>
      <c r="AL77" s="776" t="str">
        <f t="shared" si="7"/>
        <v xml:space="preserve">9318 </v>
      </c>
    </row>
    <row r="78" spans="1:38" ht="170.25" customHeight="1" x14ac:dyDescent="0.25">
      <c r="A78" s="778">
        <v>83</v>
      </c>
      <c r="B78" s="763" t="s">
        <v>797</v>
      </c>
      <c r="C78" s="764" t="s">
        <v>798</v>
      </c>
      <c r="D78" s="765">
        <f>+COUNTIF(C:C,C:C)</f>
        <v>1</v>
      </c>
      <c r="E78" s="766" t="s">
        <v>1287</v>
      </c>
      <c r="F78" s="766">
        <v>51993018</v>
      </c>
      <c r="G78" s="766" t="s">
        <v>1288</v>
      </c>
      <c r="H78" s="767">
        <v>43115</v>
      </c>
      <c r="I78" s="768" t="s">
        <v>799</v>
      </c>
      <c r="J78" s="769" t="s">
        <v>61</v>
      </c>
      <c r="K78" s="769" t="s">
        <v>683</v>
      </c>
      <c r="L78" s="770" t="s">
        <v>1494</v>
      </c>
      <c r="M78" s="770">
        <v>40000000</v>
      </c>
      <c r="N78" s="771"/>
      <c r="O78" s="770">
        <f t="shared" si="9"/>
        <v>40000000</v>
      </c>
      <c r="P78" s="768" t="s">
        <v>800</v>
      </c>
      <c r="Q78" s="769" t="s">
        <v>1497</v>
      </c>
      <c r="R78" s="769" t="s">
        <v>1291</v>
      </c>
      <c r="S78" s="769" t="s">
        <v>88</v>
      </c>
      <c r="T78" s="769" t="s">
        <v>1498</v>
      </c>
      <c r="U78" s="769" t="s">
        <v>36</v>
      </c>
      <c r="V78" s="769" t="s">
        <v>36</v>
      </c>
      <c r="W78" s="769" t="s">
        <v>36</v>
      </c>
      <c r="X78" s="768" t="s">
        <v>704</v>
      </c>
      <c r="Y78" s="767">
        <v>43117</v>
      </c>
      <c r="Z78" s="767">
        <v>43267</v>
      </c>
      <c r="AA78" s="772">
        <f t="shared" si="5"/>
        <v>150</v>
      </c>
      <c r="AB78" s="768" t="s">
        <v>148</v>
      </c>
      <c r="AC78" s="767">
        <f t="shared" si="6"/>
        <v>43267</v>
      </c>
      <c r="AD78" s="769" t="s">
        <v>791</v>
      </c>
      <c r="AE78" s="773" t="s">
        <v>792</v>
      </c>
      <c r="AF78" s="773"/>
      <c r="AG78" s="779"/>
      <c r="AH78" s="769"/>
      <c r="AI78" s="769"/>
      <c r="AJ78" s="774">
        <f t="shared" ca="1" si="8"/>
        <v>28.666666666666668</v>
      </c>
      <c r="AK78" s="775"/>
      <c r="AL78" s="776" t="str">
        <f t="shared" si="7"/>
        <v xml:space="preserve">4318 </v>
      </c>
    </row>
    <row r="79" spans="1:38" ht="170.25" customHeight="1" x14ac:dyDescent="0.25">
      <c r="A79" s="778">
        <v>140</v>
      </c>
      <c r="B79" s="763" t="s">
        <v>1025</v>
      </c>
      <c r="C79" s="764" t="s">
        <v>1026</v>
      </c>
      <c r="D79" s="765">
        <f>+COUNTIF(C:C,C:C)</f>
        <v>1</v>
      </c>
      <c r="E79" s="766" t="s">
        <v>1287</v>
      </c>
      <c r="F79" s="766">
        <v>52227643</v>
      </c>
      <c r="G79" s="766" t="s">
        <v>1288</v>
      </c>
      <c r="H79" s="767">
        <v>43115</v>
      </c>
      <c r="I79" s="768" t="s">
        <v>1023</v>
      </c>
      <c r="J79" s="769" t="s">
        <v>61</v>
      </c>
      <c r="K79" s="769" t="s">
        <v>683</v>
      </c>
      <c r="L79" s="770" t="s">
        <v>1499</v>
      </c>
      <c r="M79" s="770">
        <v>31160000</v>
      </c>
      <c r="N79" s="771"/>
      <c r="O79" s="770">
        <f t="shared" si="9"/>
        <v>31160000</v>
      </c>
      <c r="P79" s="768" t="s">
        <v>1024</v>
      </c>
      <c r="Q79" s="769" t="s">
        <v>1500</v>
      </c>
      <c r="R79" s="769" t="s">
        <v>1291</v>
      </c>
      <c r="S79" s="769" t="s">
        <v>1440</v>
      </c>
      <c r="T79" s="769" t="s">
        <v>1501</v>
      </c>
      <c r="U79" s="769" t="s">
        <v>36</v>
      </c>
      <c r="V79" s="769" t="s">
        <v>36</v>
      </c>
      <c r="W79" s="769" t="s">
        <v>36</v>
      </c>
      <c r="X79" s="768" t="s">
        <v>985</v>
      </c>
      <c r="Y79" s="767">
        <v>43116</v>
      </c>
      <c r="Z79" s="767">
        <v>43358</v>
      </c>
      <c r="AA79" s="772">
        <f t="shared" si="5"/>
        <v>242</v>
      </c>
      <c r="AB79" s="768" t="s">
        <v>148</v>
      </c>
      <c r="AC79" s="767">
        <f t="shared" si="6"/>
        <v>43358</v>
      </c>
      <c r="AD79" s="769" t="s">
        <v>781</v>
      </c>
      <c r="AE79" s="773" t="s">
        <v>782</v>
      </c>
      <c r="AF79" s="773"/>
      <c r="AG79" s="779"/>
      <c r="AH79" s="769"/>
      <c r="AI79" s="769"/>
      <c r="AJ79" s="774">
        <f t="shared" ca="1" si="8"/>
        <v>18.181818181818183</v>
      </c>
      <c r="AK79" s="775"/>
      <c r="AL79" s="776" t="str">
        <f t="shared" si="7"/>
        <v xml:space="preserve">1218 </v>
      </c>
    </row>
    <row r="80" spans="1:38" ht="170.25" customHeight="1" x14ac:dyDescent="0.25">
      <c r="A80" s="778">
        <v>129</v>
      </c>
      <c r="B80" s="763" t="s">
        <v>981</v>
      </c>
      <c r="C80" s="764" t="s">
        <v>982</v>
      </c>
      <c r="D80" s="765">
        <f>+COUNTIF(C:C,C:C)</f>
        <v>1</v>
      </c>
      <c r="E80" s="766" t="s">
        <v>1287</v>
      </c>
      <c r="F80" s="766">
        <v>51942683</v>
      </c>
      <c r="G80" s="766" t="s">
        <v>1288</v>
      </c>
      <c r="H80" s="767">
        <v>43115</v>
      </c>
      <c r="I80" s="768" t="s">
        <v>983</v>
      </c>
      <c r="J80" s="769" t="s">
        <v>61</v>
      </c>
      <c r="K80" s="769" t="s">
        <v>683</v>
      </c>
      <c r="L80" s="770" t="s">
        <v>1502</v>
      </c>
      <c r="M80" s="770">
        <v>48000000</v>
      </c>
      <c r="N80" s="771"/>
      <c r="O80" s="770">
        <f t="shared" si="9"/>
        <v>48000000</v>
      </c>
      <c r="P80" s="768" t="s">
        <v>984</v>
      </c>
      <c r="Q80" s="769" t="s">
        <v>1503</v>
      </c>
      <c r="R80" s="769" t="s">
        <v>1291</v>
      </c>
      <c r="S80" s="769" t="s">
        <v>1440</v>
      </c>
      <c r="T80" s="769" t="s">
        <v>1504</v>
      </c>
      <c r="U80" s="769" t="s">
        <v>36</v>
      </c>
      <c r="V80" s="769" t="s">
        <v>36</v>
      </c>
      <c r="W80" s="769" t="s">
        <v>36</v>
      </c>
      <c r="X80" s="768" t="s">
        <v>985</v>
      </c>
      <c r="Y80" s="767">
        <v>43118</v>
      </c>
      <c r="Z80" s="767">
        <v>43360</v>
      </c>
      <c r="AA80" s="772">
        <f t="shared" si="5"/>
        <v>242</v>
      </c>
      <c r="AB80" s="768" t="s">
        <v>148</v>
      </c>
      <c r="AC80" s="767">
        <f t="shared" si="6"/>
        <v>43360</v>
      </c>
      <c r="AD80" s="769" t="s">
        <v>1220</v>
      </c>
      <c r="AE80" s="773" t="s">
        <v>854</v>
      </c>
      <c r="AF80" s="773"/>
      <c r="AG80" s="779"/>
      <c r="AH80" s="769"/>
      <c r="AI80" s="769"/>
      <c r="AJ80" s="774">
        <f t="shared" ca="1" si="8"/>
        <v>17.355371900826448</v>
      </c>
      <c r="AK80" s="775"/>
      <c r="AL80" s="776" t="str">
        <f t="shared" si="7"/>
        <v xml:space="preserve">1018 </v>
      </c>
    </row>
    <row r="81" spans="1:38" ht="170.25" customHeight="1" x14ac:dyDescent="0.25">
      <c r="A81" s="778">
        <v>139</v>
      </c>
      <c r="B81" s="763" t="s">
        <v>1021</v>
      </c>
      <c r="C81" s="764" t="s">
        <v>1022</v>
      </c>
      <c r="D81" s="765">
        <f>+COUNTIF(C:C,C:C)</f>
        <v>1</v>
      </c>
      <c r="E81" s="766" t="s">
        <v>1287</v>
      </c>
      <c r="F81" s="766">
        <v>80227517</v>
      </c>
      <c r="G81" s="766" t="s">
        <v>1299</v>
      </c>
      <c r="H81" s="767">
        <v>43115</v>
      </c>
      <c r="I81" s="768" t="s">
        <v>1023</v>
      </c>
      <c r="J81" s="769" t="s">
        <v>61</v>
      </c>
      <c r="K81" s="769" t="s">
        <v>683</v>
      </c>
      <c r="L81" s="770" t="s">
        <v>1499</v>
      </c>
      <c r="M81" s="770">
        <v>31160000</v>
      </c>
      <c r="N81" s="771"/>
      <c r="O81" s="770">
        <f t="shared" si="9"/>
        <v>31160000</v>
      </c>
      <c r="P81" s="768" t="s">
        <v>1024</v>
      </c>
      <c r="Q81" s="769" t="s">
        <v>1505</v>
      </c>
      <c r="R81" s="769" t="s">
        <v>1291</v>
      </c>
      <c r="S81" s="769" t="s">
        <v>1440</v>
      </c>
      <c r="T81" s="769" t="s">
        <v>1506</v>
      </c>
      <c r="U81" s="769" t="s">
        <v>36</v>
      </c>
      <c r="V81" s="769" t="s">
        <v>36</v>
      </c>
      <c r="W81" s="769" t="s">
        <v>36</v>
      </c>
      <c r="X81" s="768" t="s">
        <v>985</v>
      </c>
      <c r="Y81" s="767">
        <v>43117</v>
      </c>
      <c r="Z81" s="767">
        <v>43359</v>
      </c>
      <c r="AA81" s="772">
        <f t="shared" si="5"/>
        <v>242</v>
      </c>
      <c r="AB81" s="768" t="s">
        <v>148</v>
      </c>
      <c r="AC81" s="767">
        <f t="shared" si="6"/>
        <v>43359</v>
      </c>
      <c r="AD81" s="769" t="s">
        <v>781</v>
      </c>
      <c r="AE81" s="773" t="s">
        <v>782</v>
      </c>
      <c r="AF81" s="773"/>
      <c r="AG81" s="779"/>
      <c r="AH81" s="769"/>
      <c r="AI81" s="769"/>
      <c r="AJ81" s="774">
        <f t="shared" ca="1" si="8"/>
        <v>17.768595041322314</v>
      </c>
      <c r="AK81" s="775"/>
      <c r="AL81" s="776" t="str">
        <f t="shared" si="7"/>
        <v>11118</v>
      </c>
    </row>
    <row r="82" spans="1:38" ht="170.25" customHeight="1" x14ac:dyDescent="0.25">
      <c r="A82" s="778">
        <v>151</v>
      </c>
      <c r="B82" s="763" t="s">
        <v>1069</v>
      </c>
      <c r="C82" s="764" t="s">
        <v>1070</v>
      </c>
      <c r="D82" s="765">
        <f>+COUNTIF(C:C,C:C)</f>
        <v>1</v>
      </c>
      <c r="E82" s="766" t="s">
        <v>1287</v>
      </c>
      <c r="F82" s="766">
        <v>1033694932</v>
      </c>
      <c r="G82" s="766" t="s">
        <v>1299</v>
      </c>
      <c r="H82" s="767">
        <v>43115</v>
      </c>
      <c r="I82" s="768" t="s">
        <v>1066</v>
      </c>
      <c r="J82" s="769" t="s">
        <v>61</v>
      </c>
      <c r="K82" s="769" t="s">
        <v>683</v>
      </c>
      <c r="L82" s="770" t="s">
        <v>1465</v>
      </c>
      <c r="M82" s="770">
        <v>29384000</v>
      </c>
      <c r="N82" s="771"/>
      <c r="O82" s="770">
        <f t="shared" si="9"/>
        <v>29384000</v>
      </c>
      <c r="P82" s="768" t="s">
        <v>1067</v>
      </c>
      <c r="Q82" s="769" t="s">
        <v>1507</v>
      </c>
      <c r="R82" s="769" t="s">
        <v>1291</v>
      </c>
      <c r="S82" s="769" t="s">
        <v>1440</v>
      </c>
      <c r="T82" s="769" t="s">
        <v>1508</v>
      </c>
      <c r="U82" s="769" t="s">
        <v>36</v>
      </c>
      <c r="V82" s="769" t="s">
        <v>36</v>
      </c>
      <c r="W82" s="769" t="s">
        <v>36</v>
      </c>
      <c r="X82" s="768" t="s">
        <v>985</v>
      </c>
      <c r="Y82" s="767">
        <v>43117</v>
      </c>
      <c r="Z82" s="767">
        <v>43359</v>
      </c>
      <c r="AA82" s="772">
        <f t="shared" si="5"/>
        <v>242</v>
      </c>
      <c r="AB82" s="768" t="s">
        <v>148</v>
      </c>
      <c r="AC82" s="767">
        <f t="shared" si="6"/>
        <v>43359</v>
      </c>
      <c r="AD82" s="769" t="s">
        <v>1071</v>
      </c>
      <c r="AE82" s="773" t="s">
        <v>849</v>
      </c>
      <c r="AF82" s="773"/>
      <c r="AG82" s="779"/>
      <c r="AH82" s="769"/>
      <c r="AI82" s="769"/>
      <c r="AJ82" s="774">
        <f t="shared" ca="1" si="8"/>
        <v>17.768595041322314</v>
      </c>
      <c r="AK82" s="775"/>
      <c r="AL82" s="776" t="str">
        <f t="shared" si="7"/>
        <v>12218</v>
      </c>
    </row>
    <row r="83" spans="1:38" ht="183.75" customHeight="1" x14ac:dyDescent="0.25">
      <c r="A83" s="778">
        <v>145</v>
      </c>
      <c r="B83" s="763" t="s">
        <v>1039</v>
      </c>
      <c r="C83" s="764" t="s">
        <v>1040</v>
      </c>
      <c r="D83" s="765">
        <f>+COUNTIF(C:C,C:C)</f>
        <v>1</v>
      </c>
      <c r="E83" s="766" t="s">
        <v>1287</v>
      </c>
      <c r="F83" s="766">
        <v>79694373</v>
      </c>
      <c r="G83" s="766" t="s">
        <v>1299</v>
      </c>
      <c r="H83" s="767">
        <v>43116</v>
      </c>
      <c r="I83" s="768" t="s">
        <v>1041</v>
      </c>
      <c r="J83" s="769" t="s">
        <v>61</v>
      </c>
      <c r="K83" s="769" t="s">
        <v>683</v>
      </c>
      <c r="L83" s="770" t="s">
        <v>1509</v>
      </c>
      <c r="M83" s="770">
        <v>39000000</v>
      </c>
      <c r="N83" s="771"/>
      <c r="O83" s="770">
        <f t="shared" si="9"/>
        <v>39000000</v>
      </c>
      <c r="P83" s="768" t="s">
        <v>1042</v>
      </c>
      <c r="Q83" s="769" t="s">
        <v>1510</v>
      </c>
      <c r="R83" s="769" t="s">
        <v>1291</v>
      </c>
      <c r="S83" s="769" t="s">
        <v>1440</v>
      </c>
      <c r="T83" s="769" t="s">
        <v>1511</v>
      </c>
      <c r="U83" s="769" t="s">
        <v>36</v>
      </c>
      <c r="V83" s="769" t="s">
        <v>36</v>
      </c>
      <c r="W83" s="769" t="s">
        <v>36</v>
      </c>
      <c r="X83" s="768" t="s">
        <v>1043</v>
      </c>
      <c r="Y83" s="767">
        <v>43118</v>
      </c>
      <c r="Z83" s="767">
        <v>43298</v>
      </c>
      <c r="AA83" s="772">
        <f t="shared" si="5"/>
        <v>180</v>
      </c>
      <c r="AB83" s="768" t="s">
        <v>148</v>
      </c>
      <c r="AC83" s="767">
        <f t="shared" si="6"/>
        <v>43298</v>
      </c>
      <c r="AD83" s="769" t="s">
        <v>1044</v>
      </c>
      <c r="AE83" s="773" t="s">
        <v>792</v>
      </c>
      <c r="AF83" s="773"/>
      <c r="AG83" s="779"/>
      <c r="AH83" s="769"/>
      <c r="AI83" s="769"/>
      <c r="AJ83" s="774">
        <f t="shared" ca="1" si="8"/>
        <v>23.333333333333332</v>
      </c>
      <c r="AK83" s="775"/>
      <c r="AL83" s="776" t="str">
        <f t="shared" si="7"/>
        <v>11618</v>
      </c>
    </row>
    <row r="84" spans="1:38" ht="170.25" customHeight="1" x14ac:dyDescent="0.25">
      <c r="A84" s="778">
        <v>143</v>
      </c>
      <c r="B84" s="763" t="s">
        <v>1034</v>
      </c>
      <c r="C84" s="764" t="s">
        <v>616</v>
      </c>
      <c r="D84" s="765">
        <f>+COUNTIF(C:C,C:C)</f>
        <v>1</v>
      </c>
      <c r="E84" s="766" t="s">
        <v>1287</v>
      </c>
      <c r="F84" s="766">
        <v>79432063</v>
      </c>
      <c r="G84" s="766" t="s">
        <v>1299</v>
      </c>
      <c r="H84" s="767">
        <v>43116</v>
      </c>
      <c r="I84" s="768" t="s">
        <v>1035</v>
      </c>
      <c r="J84" s="769" t="s">
        <v>61</v>
      </c>
      <c r="K84" s="769" t="s">
        <v>683</v>
      </c>
      <c r="L84" s="770" t="s">
        <v>1471</v>
      </c>
      <c r="M84" s="770">
        <v>41848000</v>
      </c>
      <c r="N84" s="771"/>
      <c r="O84" s="770">
        <f t="shared" si="9"/>
        <v>41848000</v>
      </c>
      <c r="P84" s="768" t="s">
        <v>1036</v>
      </c>
      <c r="Q84" s="769" t="s">
        <v>1512</v>
      </c>
      <c r="R84" s="769" t="s">
        <v>1291</v>
      </c>
      <c r="S84" s="769" t="s">
        <v>1440</v>
      </c>
      <c r="T84" s="769" t="s">
        <v>1513</v>
      </c>
      <c r="U84" s="769" t="s">
        <v>36</v>
      </c>
      <c r="V84" s="769" t="s">
        <v>36</v>
      </c>
      <c r="W84" s="769" t="s">
        <v>36</v>
      </c>
      <c r="X84" s="768" t="s">
        <v>985</v>
      </c>
      <c r="Y84" s="767">
        <v>43118</v>
      </c>
      <c r="Z84" s="767">
        <v>43360</v>
      </c>
      <c r="AA84" s="772">
        <f t="shared" si="5"/>
        <v>242</v>
      </c>
      <c r="AB84" s="768" t="s">
        <v>148</v>
      </c>
      <c r="AC84" s="767">
        <f t="shared" si="6"/>
        <v>43360</v>
      </c>
      <c r="AD84" s="769" t="s">
        <v>1037</v>
      </c>
      <c r="AE84" s="773" t="s">
        <v>1038</v>
      </c>
      <c r="AF84" s="773"/>
      <c r="AG84" s="779"/>
      <c r="AH84" s="769"/>
      <c r="AI84" s="769"/>
      <c r="AJ84" s="774">
        <f t="shared" ca="1" si="8"/>
        <v>17.355371900826448</v>
      </c>
      <c r="AK84" s="775"/>
      <c r="AL84" s="776" t="str">
        <f t="shared" si="7"/>
        <v>11518</v>
      </c>
    </row>
    <row r="85" spans="1:38" ht="170.25" customHeight="1" x14ac:dyDescent="0.25">
      <c r="A85" s="778">
        <v>146</v>
      </c>
      <c r="B85" s="763" t="s">
        <v>1045</v>
      </c>
      <c r="C85" s="764" t="s">
        <v>1046</v>
      </c>
      <c r="D85" s="765">
        <f>+COUNTIF(C:C,C:C)</f>
        <v>1</v>
      </c>
      <c r="E85" s="766" t="s">
        <v>1287</v>
      </c>
      <c r="F85" s="766">
        <v>79159216</v>
      </c>
      <c r="G85" s="766" t="s">
        <v>1299</v>
      </c>
      <c r="H85" s="767">
        <v>43116</v>
      </c>
      <c r="I85" s="768" t="s">
        <v>1047</v>
      </c>
      <c r="J85" s="769" t="s">
        <v>61</v>
      </c>
      <c r="K85" s="769" t="s">
        <v>683</v>
      </c>
      <c r="L85" s="770" t="s">
        <v>1514</v>
      </c>
      <c r="M85" s="770">
        <v>64000000</v>
      </c>
      <c r="N85" s="771"/>
      <c r="O85" s="770">
        <f t="shared" si="9"/>
        <v>64000000</v>
      </c>
      <c r="P85" s="768" t="s">
        <v>1048</v>
      </c>
      <c r="Q85" s="769" t="s">
        <v>1515</v>
      </c>
      <c r="R85" s="769" t="s">
        <v>1291</v>
      </c>
      <c r="S85" s="769" t="s">
        <v>1440</v>
      </c>
      <c r="T85" s="769" t="s">
        <v>1516</v>
      </c>
      <c r="U85" s="769" t="s">
        <v>36</v>
      </c>
      <c r="V85" s="769" t="s">
        <v>36</v>
      </c>
      <c r="W85" s="769" t="s">
        <v>36</v>
      </c>
      <c r="X85" s="768" t="s">
        <v>985</v>
      </c>
      <c r="Y85" s="767">
        <v>43117</v>
      </c>
      <c r="Z85" s="767">
        <v>43359</v>
      </c>
      <c r="AA85" s="772">
        <f t="shared" si="5"/>
        <v>242</v>
      </c>
      <c r="AB85" s="768" t="s">
        <v>148</v>
      </c>
      <c r="AC85" s="767">
        <f t="shared" si="6"/>
        <v>43359</v>
      </c>
      <c r="AD85" s="769" t="s">
        <v>1049</v>
      </c>
      <c r="AE85" s="773" t="s">
        <v>301</v>
      </c>
      <c r="AF85" s="773"/>
      <c r="AG85" s="779"/>
      <c r="AH85" s="769"/>
      <c r="AI85" s="769"/>
      <c r="AJ85" s="774">
        <f t="shared" ca="1" si="8"/>
        <v>17.768595041322314</v>
      </c>
      <c r="AK85" s="775"/>
      <c r="AL85" s="776" t="str">
        <f t="shared" si="7"/>
        <v>11718</v>
      </c>
    </row>
    <row r="86" spans="1:38" ht="170.25" customHeight="1" x14ac:dyDescent="0.25">
      <c r="A86" s="778">
        <v>168</v>
      </c>
      <c r="B86" s="763" t="s">
        <v>1128</v>
      </c>
      <c r="C86" s="764" t="s">
        <v>1129</v>
      </c>
      <c r="D86" s="765">
        <f>+COUNTIF(C:C,C:C)</f>
        <v>1</v>
      </c>
      <c r="E86" s="766" t="s">
        <v>1287</v>
      </c>
      <c r="F86" s="766">
        <v>30687141</v>
      </c>
      <c r="G86" s="766" t="s">
        <v>1288</v>
      </c>
      <c r="H86" s="767">
        <v>43116</v>
      </c>
      <c r="I86" s="768" t="s">
        <v>1130</v>
      </c>
      <c r="J86" s="769" t="s">
        <v>61</v>
      </c>
      <c r="K86" s="769" t="s">
        <v>683</v>
      </c>
      <c r="L86" s="770" t="s">
        <v>1517</v>
      </c>
      <c r="M86" s="770">
        <v>80000000</v>
      </c>
      <c r="N86" s="771"/>
      <c r="O86" s="770">
        <f t="shared" si="9"/>
        <v>80000000</v>
      </c>
      <c r="P86" s="768" t="s">
        <v>1131</v>
      </c>
      <c r="Q86" s="769" t="s">
        <v>1518</v>
      </c>
      <c r="R86" s="769" t="s">
        <v>1305</v>
      </c>
      <c r="S86" s="769" t="s">
        <v>1440</v>
      </c>
      <c r="T86" s="769" t="s">
        <v>1519</v>
      </c>
      <c r="U86" s="769" t="s">
        <v>36</v>
      </c>
      <c r="V86" s="769" t="s">
        <v>36</v>
      </c>
      <c r="W86" s="769" t="s">
        <v>36</v>
      </c>
      <c r="X86" s="768" t="s">
        <v>985</v>
      </c>
      <c r="Y86" s="767">
        <v>43122</v>
      </c>
      <c r="Z86" s="767">
        <v>43364</v>
      </c>
      <c r="AA86" s="772">
        <f t="shared" si="5"/>
        <v>242</v>
      </c>
      <c r="AB86" s="768" t="s">
        <v>148</v>
      </c>
      <c r="AC86" s="767">
        <f t="shared" si="6"/>
        <v>43364</v>
      </c>
      <c r="AD86" s="769" t="s">
        <v>815</v>
      </c>
      <c r="AE86" s="773" t="s">
        <v>816</v>
      </c>
      <c r="AF86" s="773"/>
      <c r="AG86" s="779"/>
      <c r="AH86" s="769"/>
      <c r="AI86" s="769"/>
      <c r="AJ86" s="774">
        <f t="shared" ca="1" si="8"/>
        <v>15.702479338842975</v>
      </c>
      <c r="AK86" s="775"/>
      <c r="AL86" s="776" t="str">
        <f t="shared" si="7"/>
        <v>13918</v>
      </c>
    </row>
    <row r="87" spans="1:38" ht="170.25" customHeight="1" x14ac:dyDescent="0.25">
      <c r="A87" s="778">
        <v>169</v>
      </c>
      <c r="B87" s="763" t="s">
        <v>1132</v>
      </c>
      <c r="C87" s="764" t="s">
        <v>1133</v>
      </c>
      <c r="D87" s="765">
        <f>+COUNTIF(C:C,C:C)</f>
        <v>1</v>
      </c>
      <c r="E87" s="766" t="s">
        <v>1287</v>
      </c>
      <c r="F87" s="766">
        <v>13062968</v>
      </c>
      <c r="G87" s="766" t="s">
        <v>1299</v>
      </c>
      <c r="H87" s="767">
        <v>43116</v>
      </c>
      <c r="I87" s="768" t="s">
        <v>1134</v>
      </c>
      <c r="J87" s="769" t="s">
        <v>61</v>
      </c>
      <c r="K87" s="769" t="s">
        <v>683</v>
      </c>
      <c r="L87" s="770" t="s">
        <v>1491</v>
      </c>
      <c r="M87" s="770">
        <v>72000000</v>
      </c>
      <c r="N87" s="771"/>
      <c r="O87" s="770">
        <f t="shared" si="9"/>
        <v>72000000</v>
      </c>
      <c r="P87" s="768" t="s">
        <v>1135</v>
      </c>
      <c r="Q87" s="769" t="s">
        <v>1520</v>
      </c>
      <c r="R87" s="769" t="s">
        <v>1305</v>
      </c>
      <c r="S87" s="769" t="s">
        <v>1440</v>
      </c>
      <c r="T87" s="769" t="s">
        <v>1521</v>
      </c>
      <c r="U87" s="769" t="s">
        <v>36</v>
      </c>
      <c r="V87" s="769" t="s">
        <v>36</v>
      </c>
      <c r="W87" s="769" t="s">
        <v>36</v>
      </c>
      <c r="X87" s="768" t="s">
        <v>985</v>
      </c>
      <c r="Y87" s="767">
        <v>43122</v>
      </c>
      <c r="Z87" s="767">
        <v>43364</v>
      </c>
      <c r="AA87" s="772">
        <f t="shared" si="5"/>
        <v>242</v>
      </c>
      <c r="AB87" s="768" t="s">
        <v>148</v>
      </c>
      <c r="AC87" s="767">
        <f t="shared" si="6"/>
        <v>43364</v>
      </c>
      <c r="AD87" s="769" t="s">
        <v>815</v>
      </c>
      <c r="AE87" s="773" t="s">
        <v>816</v>
      </c>
      <c r="AF87" s="773"/>
      <c r="AG87" s="779"/>
      <c r="AH87" s="769"/>
      <c r="AI87" s="769"/>
      <c r="AJ87" s="774">
        <f t="shared" ca="1" si="8"/>
        <v>15.702479338842975</v>
      </c>
      <c r="AK87" s="775"/>
      <c r="AL87" s="776" t="str">
        <f t="shared" si="7"/>
        <v>14018</v>
      </c>
    </row>
    <row r="88" spans="1:38" ht="170.25" customHeight="1" x14ac:dyDescent="0.25">
      <c r="A88" s="778">
        <v>62</v>
      </c>
      <c r="B88" s="763" t="s">
        <v>715</v>
      </c>
      <c r="C88" s="764" t="s">
        <v>1522</v>
      </c>
      <c r="D88" s="765">
        <f>+COUNTIF(C:C,C:C)</f>
        <v>1</v>
      </c>
      <c r="E88" s="766" t="s">
        <v>1287</v>
      </c>
      <c r="F88" s="766">
        <v>1030548888</v>
      </c>
      <c r="G88" s="766" t="s">
        <v>1299</v>
      </c>
      <c r="H88" s="767">
        <v>43116</v>
      </c>
      <c r="I88" s="768" t="s">
        <v>716</v>
      </c>
      <c r="J88" s="769" t="s">
        <v>61</v>
      </c>
      <c r="K88" s="769" t="s">
        <v>683</v>
      </c>
      <c r="L88" s="770" t="s">
        <v>1523</v>
      </c>
      <c r="M88" s="770">
        <v>15000000</v>
      </c>
      <c r="N88" s="771"/>
      <c r="O88" s="770">
        <f t="shared" si="9"/>
        <v>15000000</v>
      </c>
      <c r="P88" s="768" t="s">
        <v>717</v>
      </c>
      <c r="Q88" s="769" t="s">
        <v>1524</v>
      </c>
      <c r="R88" s="769" t="s">
        <v>1321</v>
      </c>
      <c r="S88" s="769" t="s">
        <v>88</v>
      </c>
      <c r="T88" s="769" t="s">
        <v>1525</v>
      </c>
      <c r="U88" s="769" t="s">
        <v>36</v>
      </c>
      <c r="V88" s="769" t="s">
        <v>36</v>
      </c>
      <c r="W88" s="769" t="s">
        <v>36</v>
      </c>
      <c r="X88" s="768" t="s">
        <v>718</v>
      </c>
      <c r="Y88" s="767">
        <v>43117</v>
      </c>
      <c r="Z88" s="767">
        <v>43175</v>
      </c>
      <c r="AA88" s="772">
        <f t="shared" si="5"/>
        <v>58</v>
      </c>
      <c r="AB88" s="768" t="s">
        <v>148</v>
      </c>
      <c r="AC88" s="767">
        <f t="shared" si="6"/>
        <v>43175</v>
      </c>
      <c r="AD88" s="769" t="s">
        <v>719</v>
      </c>
      <c r="AE88" s="773" t="s">
        <v>720</v>
      </c>
      <c r="AF88" s="773"/>
      <c r="AG88" s="779"/>
      <c r="AH88" s="769"/>
      <c r="AI88" s="769"/>
      <c r="AJ88" s="774">
        <f t="shared" ca="1" si="8"/>
        <v>74.137931034482762</v>
      </c>
      <c r="AK88" s="775"/>
      <c r="AL88" s="776" t="str">
        <f t="shared" si="7"/>
        <v xml:space="preserve">2618 </v>
      </c>
    </row>
    <row r="89" spans="1:38" ht="170.25" customHeight="1" x14ac:dyDescent="0.25">
      <c r="A89" s="778">
        <v>96</v>
      </c>
      <c r="B89" s="763" t="s">
        <v>855</v>
      </c>
      <c r="C89" s="764" t="s">
        <v>283</v>
      </c>
      <c r="D89" s="765">
        <f>+COUNTIF(C:C,C:C)</f>
        <v>1</v>
      </c>
      <c r="E89" s="766" t="s">
        <v>1287</v>
      </c>
      <c r="F89" s="766">
        <v>1020759709</v>
      </c>
      <c r="G89" s="766" t="s">
        <v>1299</v>
      </c>
      <c r="H89" s="767">
        <v>43116</v>
      </c>
      <c r="I89" s="768" t="s">
        <v>856</v>
      </c>
      <c r="J89" s="769" t="s">
        <v>61</v>
      </c>
      <c r="K89" s="769" t="s">
        <v>683</v>
      </c>
      <c r="L89" s="770" t="s">
        <v>1358</v>
      </c>
      <c r="M89" s="770">
        <v>24485000</v>
      </c>
      <c r="N89" s="771"/>
      <c r="O89" s="770">
        <f t="shared" si="9"/>
        <v>24485000</v>
      </c>
      <c r="P89" s="768" t="s">
        <v>857</v>
      </c>
      <c r="Q89" s="769" t="s">
        <v>1526</v>
      </c>
      <c r="R89" s="769" t="s">
        <v>1291</v>
      </c>
      <c r="S89" s="769" t="s">
        <v>88</v>
      </c>
      <c r="T89" s="769" t="s">
        <v>1527</v>
      </c>
      <c r="U89" s="769" t="s">
        <v>36</v>
      </c>
      <c r="V89" s="769" t="s">
        <v>36</v>
      </c>
      <c r="W89" s="769" t="s">
        <v>36</v>
      </c>
      <c r="X89" s="768" t="s">
        <v>858</v>
      </c>
      <c r="Y89" s="767">
        <v>43117</v>
      </c>
      <c r="Z89" s="767">
        <v>43267</v>
      </c>
      <c r="AA89" s="772">
        <f t="shared" si="5"/>
        <v>150</v>
      </c>
      <c r="AB89" s="768" t="s">
        <v>148</v>
      </c>
      <c r="AC89" s="767">
        <f t="shared" si="6"/>
        <v>43267</v>
      </c>
      <c r="AD89" s="769" t="s">
        <v>859</v>
      </c>
      <c r="AE89" s="773" t="s">
        <v>854</v>
      </c>
      <c r="AF89" s="773"/>
      <c r="AG89" s="779"/>
      <c r="AH89" s="769"/>
      <c r="AI89" s="769"/>
      <c r="AJ89" s="774">
        <f t="shared" ca="1" si="8"/>
        <v>28.666666666666668</v>
      </c>
      <c r="AK89" s="775"/>
      <c r="AL89" s="776" t="str">
        <f t="shared" si="7"/>
        <v xml:space="preserve">5618 </v>
      </c>
    </row>
    <row r="90" spans="1:38" ht="170.25" customHeight="1" x14ac:dyDescent="0.25">
      <c r="A90" s="783">
        <v>173</v>
      </c>
      <c r="B90" s="763" t="s">
        <v>1143</v>
      </c>
      <c r="C90" s="764" t="s">
        <v>1144</v>
      </c>
      <c r="D90" s="765">
        <f>+COUNTIF(C:C,C:C)</f>
        <v>1</v>
      </c>
      <c r="E90" s="766" t="s">
        <v>1287</v>
      </c>
      <c r="F90" s="766">
        <v>79960175</v>
      </c>
      <c r="G90" s="766" t="s">
        <v>1299</v>
      </c>
      <c r="H90" s="767">
        <v>43116</v>
      </c>
      <c r="I90" s="768" t="s">
        <v>1134</v>
      </c>
      <c r="J90" s="769" t="s">
        <v>61</v>
      </c>
      <c r="K90" s="769" t="s">
        <v>683</v>
      </c>
      <c r="L90" s="770" t="s">
        <v>1491</v>
      </c>
      <c r="M90" s="770">
        <v>72000000</v>
      </c>
      <c r="N90" s="771"/>
      <c r="O90" s="770">
        <f t="shared" si="9"/>
        <v>72000000</v>
      </c>
      <c r="P90" s="768" t="s">
        <v>1135</v>
      </c>
      <c r="Q90" s="769" t="s">
        <v>1528</v>
      </c>
      <c r="R90" s="769" t="s">
        <v>1305</v>
      </c>
      <c r="S90" s="769" t="s">
        <v>1440</v>
      </c>
      <c r="T90" s="769" t="s">
        <v>1529</v>
      </c>
      <c r="U90" s="769" t="s">
        <v>36</v>
      </c>
      <c r="V90" s="769" t="s">
        <v>36</v>
      </c>
      <c r="W90" s="769" t="s">
        <v>36</v>
      </c>
      <c r="X90" s="768" t="s">
        <v>985</v>
      </c>
      <c r="Y90" s="767">
        <v>43122</v>
      </c>
      <c r="Z90" s="767">
        <v>43364</v>
      </c>
      <c r="AA90" s="772">
        <f t="shared" si="5"/>
        <v>242</v>
      </c>
      <c r="AB90" s="768" t="s">
        <v>148</v>
      </c>
      <c r="AC90" s="767">
        <f t="shared" si="6"/>
        <v>43364</v>
      </c>
      <c r="AD90" s="769" t="s">
        <v>1079</v>
      </c>
      <c r="AE90" s="773" t="s">
        <v>816</v>
      </c>
      <c r="AF90" s="773"/>
      <c r="AG90" s="779"/>
      <c r="AH90" s="769"/>
      <c r="AI90" s="769"/>
      <c r="AJ90" s="774">
        <f t="shared" ca="1" si="8"/>
        <v>15.702479338842975</v>
      </c>
      <c r="AK90" s="775"/>
      <c r="AL90" s="776" t="str">
        <f t="shared" si="7"/>
        <v>14418</v>
      </c>
    </row>
    <row r="91" spans="1:38" ht="170.25" customHeight="1" x14ac:dyDescent="0.25">
      <c r="A91" s="778" t="s">
        <v>36</v>
      </c>
      <c r="B91" s="763" t="s">
        <v>1530</v>
      </c>
      <c r="C91" s="764" t="s">
        <v>1531</v>
      </c>
      <c r="D91" s="765">
        <f>+COUNTIF(C:C,C:C)</f>
        <v>1</v>
      </c>
      <c r="E91" s="766" t="s">
        <v>1287</v>
      </c>
      <c r="F91" s="778" t="s">
        <v>36</v>
      </c>
      <c r="G91" s="778" t="s">
        <v>36</v>
      </c>
      <c r="H91" s="778" t="s">
        <v>36</v>
      </c>
      <c r="I91" s="778" t="s">
        <v>36</v>
      </c>
      <c r="J91" s="778" t="s">
        <v>36</v>
      </c>
      <c r="K91" s="778" t="s">
        <v>36</v>
      </c>
      <c r="L91" s="778" t="s">
        <v>36</v>
      </c>
      <c r="M91" s="770">
        <v>0</v>
      </c>
      <c r="N91" s="778" t="s">
        <v>36</v>
      </c>
      <c r="O91" s="770">
        <f t="shared" si="9"/>
        <v>0</v>
      </c>
      <c r="P91" s="778" t="s">
        <v>36</v>
      </c>
      <c r="Q91" s="778" t="s">
        <v>36</v>
      </c>
      <c r="R91" s="778" t="s">
        <v>36</v>
      </c>
      <c r="S91" s="778" t="s">
        <v>36</v>
      </c>
      <c r="T91" s="778" t="s">
        <v>36</v>
      </c>
      <c r="U91" s="778" t="s">
        <v>36</v>
      </c>
      <c r="V91" s="778" t="s">
        <v>36</v>
      </c>
      <c r="W91" s="778" t="s">
        <v>36</v>
      </c>
      <c r="X91" s="778" t="s">
        <v>36</v>
      </c>
      <c r="Y91" s="778" t="s">
        <v>36</v>
      </c>
      <c r="Z91" s="778" t="s">
        <v>36</v>
      </c>
      <c r="AA91" s="778" t="s">
        <v>36</v>
      </c>
      <c r="AB91" s="778"/>
      <c r="AC91" s="778" t="s">
        <v>36</v>
      </c>
      <c r="AD91" s="778" t="s">
        <v>36</v>
      </c>
      <c r="AE91" s="778" t="s">
        <v>36</v>
      </c>
      <c r="AF91" s="778"/>
      <c r="AG91" s="778"/>
      <c r="AH91" s="778"/>
      <c r="AI91" s="778"/>
      <c r="AJ91" s="778" t="s">
        <v>36</v>
      </c>
      <c r="AK91" s="775"/>
      <c r="AL91" s="776" t="str">
        <f t="shared" si="7"/>
        <v>N/A</v>
      </c>
    </row>
    <row r="92" spans="1:38" ht="170.25" customHeight="1" x14ac:dyDescent="0.25">
      <c r="A92" s="778">
        <v>171</v>
      </c>
      <c r="B92" s="763" t="s">
        <v>1138</v>
      </c>
      <c r="C92" s="764" t="s">
        <v>1139</v>
      </c>
      <c r="D92" s="765">
        <f>+COUNTIF(C:C,C:C)</f>
        <v>1</v>
      </c>
      <c r="E92" s="766" t="s">
        <v>1287</v>
      </c>
      <c r="F92" s="766">
        <v>12560639</v>
      </c>
      <c r="G92" s="766" t="s">
        <v>1299</v>
      </c>
      <c r="H92" s="767">
        <v>43116</v>
      </c>
      <c r="I92" s="768" t="s">
        <v>1134</v>
      </c>
      <c r="J92" s="769" t="s">
        <v>61</v>
      </c>
      <c r="K92" s="769" t="s">
        <v>683</v>
      </c>
      <c r="L92" s="770" t="s">
        <v>1491</v>
      </c>
      <c r="M92" s="770">
        <v>72000000</v>
      </c>
      <c r="N92" s="771"/>
      <c r="O92" s="770">
        <f t="shared" si="9"/>
        <v>72000000</v>
      </c>
      <c r="P92" s="768" t="s">
        <v>1135</v>
      </c>
      <c r="Q92" s="769" t="s">
        <v>1532</v>
      </c>
      <c r="R92" s="769" t="s">
        <v>1305</v>
      </c>
      <c r="S92" s="769" t="s">
        <v>88</v>
      </c>
      <c r="T92" s="769" t="s">
        <v>1533</v>
      </c>
      <c r="U92" s="769" t="s">
        <v>36</v>
      </c>
      <c r="V92" s="769" t="s">
        <v>36</v>
      </c>
      <c r="W92" s="769" t="s">
        <v>36</v>
      </c>
      <c r="X92" s="768" t="s">
        <v>985</v>
      </c>
      <c r="Y92" s="767">
        <v>43122</v>
      </c>
      <c r="Z92" s="767">
        <v>43364</v>
      </c>
      <c r="AA92" s="772">
        <f t="shared" si="5"/>
        <v>242</v>
      </c>
      <c r="AB92" s="768" t="s">
        <v>148</v>
      </c>
      <c r="AC92" s="767">
        <f t="shared" si="6"/>
        <v>43364</v>
      </c>
      <c r="AD92" s="769" t="s">
        <v>1079</v>
      </c>
      <c r="AE92" s="773" t="s">
        <v>816</v>
      </c>
      <c r="AF92" s="773"/>
      <c r="AG92" s="779"/>
      <c r="AH92" s="769"/>
      <c r="AI92" s="769"/>
      <c r="AJ92" s="774">
        <f t="shared" ca="1" si="8"/>
        <v>15.702479338842975</v>
      </c>
      <c r="AK92" s="775"/>
      <c r="AL92" s="776" t="str">
        <f t="shared" si="7"/>
        <v>14218</v>
      </c>
    </row>
    <row r="93" spans="1:38" ht="170.25" customHeight="1" x14ac:dyDescent="0.25">
      <c r="A93" s="778">
        <v>176</v>
      </c>
      <c r="B93" s="763" t="s">
        <v>1152</v>
      </c>
      <c r="C93" s="764" t="s">
        <v>1153</v>
      </c>
      <c r="D93" s="765">
        <f>+COUNTIF(C:C,C:C)</f>
        <v>1</v>
      </c>
      <c r="E93" s="766" t="s">
        <v>1287</v>
      </c>
      <c r="F93" s="766">
        <v>72146098</v>
      </c>
      <c r="G93" s="766" t="s">
        <v>1299</v>
      </c>
      <c r="H93" s="767">
        <v>43116</v>
      </c>
      <c r="I93" s="768" t="s">
        <v>1154</v>
      </c>
      <c r="J93" s="769" t="s">
        <v>61</v>
      </c>
      <c r="K93" s="769" t="s">
        <v>683</v>
      </c>
      <c r="L93" s="770" t="s">
        <v>1502</v>
      </c>
      <c r="M93" s="770">
        <v>48000000</v>
      </c>
      <c r="N93" s="771"/>
      <c r="O93" s="770">
        <f t="shared" si="9"/>
        <v>48000000</v>
      </c>
      <c r="P93" s="768" t="s">
        <v>984</v>
      </c>
      <c r="Q93" s="769" t="s">
        <v>1534</v>
      </c>
      <c r="R93" s="769" t="s">
        <v>1305</v>
      </c>
      <c r="S93" s="769" t="s">
        <v>88</v>
      </c>
      <c r="T93" s="769" t="s">
        <v>1535</v>
      </c>
      <c r="U93" s="769" t="s">
        <v>36</v>
      </c>
      <c r="V93" s="769" t="s">
        <v>36</v>
      </c>
      <c r="W93" s="769" t="s">
        <v>36</v>
      </c>
      <c r="X93" s="768" t="s">
        <v>985</v>
      </c>
      <c r="Y93" s="767">
        <v>43122</v>
      </c>
      <c r="Z93" s="767">
        <v>43364</v>
      </c>
      <c r="AA93" s="772">
        <f t="shared" si="5"/>
        <v>242</v>
      </c>
      <c r="AB93" s="768" t="s">
        <v>148</v>
      </c>
      <c r="AC93" s="767">
        <f t="shared" si="6"/>
        <v>43364</v>
      </c>
      <c r="AD93" s="769" t="s">
        <v>1079</v>
      </c>
      <c r="AE93" s="773" t="s">
        <v>816</v>
      </c>
      <c r="AF93" s="773"/>
      <c r="AG93" s="779"/>
      <c r="AH93" s="769"/>
      <c r="AI93" s="769"/>
      <c r="AJ93" s="774">
        <f t="shared" ca="1" si="8"/>
        <v>15.702479338842975</v>
      </c>
      <c r="AK93" s="775"/>
      <c r="AL93" s="776" t="str">
        <f t="shared" si="7"/>
        <v>14718</v>
      </c>
    </row>
    <row r="94" spans="1:38" ht="170.25" customHeight="1" x14ac:dyDescent="0.25">
      <c r="A94" s="778">
        <v>163</v>
      </c>
      <c r="B94" s="763" t="s">
        <v>1108</v>
      </c>
      <c r="C94" s="764" t="s">
        <v>1109</v>
      </c>
      <c r="D94" s="765">
        <f>+COUNTIF(C:C,C:C)</f>
        <v>1</v>
      </c>
      <c r="E94" s="766" t="s">
        <v>1287</v>
      </c>
      <c r="F94" s="766">
        <v>1020714340</v>
      </c>
      <c r="G94" s="766" t="s">
        <v>1288</v>
      </c>
      <c r="H94" s="767">
        <v>43116</v>
      </c>
      <c r="I94" s="768" t="s">
        <v>1110</v>
      </c>
      <c r="J94" s="769" t="s">
        <v>61</v>
      </c>
      <c r="K94" s="769" t="s">
        <v>683</v>
      </c>
      <c r="L94" s="770" t="s">
        <v>1536</v>
      </c>
      <c r="M94" s="770">
        <v>34720000</v>
      </c>
      <c r="N94" s="771"/>
      <c r="O94" s="770">
        <f t="shared" si="9"/>
        <v>34720000</v>
      </c>
      <c r="P94" s="768" t="s">
        <v>1111</v>
      </c>
      <c r="Q94" s="769" t="s">
        <v>1537</v>
      </c>
      <c r="R94" s="769" t="s">
        <v>1305</v>
      </c>
      <c r="S94" s="769" t="s">
        <v>1440</v>
      </c>
      <c r="T94" s="769" t="s">
        <v>1538</v>
      </c>
      <c r="U94" s="769" t="s">
        <v>36</v>
      </c>
      <c r="V94" s="769" t="s">
        <v>36</v>
      </c>
      <c r="W94" s="769" t="s">
        <v>36</v>
      </c>
      <c r="X94" s="768" t="s">
        <v>692</v>
      </c>
      <c r="Y94" s="767">
        <v>43117</v>
      </c>
      <c r="Z94" s="767">
        <v>43359</v>
      </c>
      <c r="AA94" s="772">
        <f t="shared" si="5"/>
        <v>242</v>
      </c>
      <c r="AB94" s="768" t="s">
        <v>148</v>
      </c>
      <c r="AC94" s="767">
        <f t="shared" si="6"/>
        <v>43359</v>
      </c>
      <c r="AD94" s="769" t="s">
        <v>1079</v>
      </c>
      <c r="AE94" s="773" t="s">
        <v>816</v>
      </c>
      <c r="AF94" s="773"/>
      <c r="AG94" s="779"/>
      <c r="AH94" s="769"/>
      <c r="AI94" s="769"/>
      <c r="AJ94" s="774">
        <f t="shared" ca="1" si="8"/>
        <v>17.768595041322314</v>
      </c>
      <c r="AK94" s="775"/>
      <c r="AL94" s="776" t="str">
        <f t="shared" si="7"/>
        <v>13418</v>
      </c>
    </row>
    <row r="95" spans="1:38" ht="170.25" customHeight="1" x14ac:dyDescent="0.25">
      <c r="A95" s="778">
        <v>197</v>
      </c>
      <c r="B95" s="763" t="s">
        <v>1201</v>
      </c>
      <c r="C95" s="764" t="s">
        <v>1202</v>
      </c>
      <c r="D95" s="765">
        <f>+COUNTIF(C:C,C:C)</f>
        <v>1</v>
      </c>
      <c r="E95" s="766" t="s">
        <v>1287</v>
      </c>
      <c r="F95" s="766">
        <v>52196410</v>
      </c>
      <c r="G95" s="766" t="s">
        <v>1288</v>
      </c>
      <c r="H95" s="767">
        <v>43116</v>
      </c>
      <c r="I95" s="768" t="s">
        <v>1203</v>
      </c>
      <c r="J95" s="769" t="s">
        <v>61</v>
      </c>
      <c r="K95" s="769" t="s">
        <v>683</v>
      </c>
      <c r="L95" s="770" t="s">
        <v>1539</v>
      </c>
      <c r="M95" s="770">
        <v>68000000</v>
      </c>
      <c r="N95" s="771"/>
      <c r="O95" s="770">
        <f t="shared" si="9"/>
        <v>68000000</v>
      </c>
      <c r="P95" s="768" t="s">
        <v>1204</v>
      </c>
      <c r="Q95" s="769" t="s">
        <v>1540</v>
      </c>
      <c r="R95" s="769" t="s">
        <v>1305</v>
      </c>
      <c r="S95" s="769" t="s">
        <v>1440</v>
      </c>
      <c r="T95" s="769" t="s">
        <v>1541</v>
      </c>
      <c r="U95" s="769" t="s">
        <v>36</v>
      </c>
      <c r="V95" s="769" t="s">
        <v>36</v>
      </c>
      <c r="W95" s="769" t="s">
        <v>36</v>
      </c>
      <c r="X95" s="768" t="s">
        <v>692</v>
      </c>
      <c r="Y95" s="767">
        <v>43117</v>
      </c>
      <c r="Z95" s="767">
        <v>43359</v>
      </c>
      <c r="AA95" s="772">
        <f t="shared" si="5"/>
        <v>242</v>
      </c>
      <c r="AB95" s="768" t="s">
        <v>148</v>
      </c>
      <c r="AC95" s="767">
        <f t="shared" si="6"/>
        <v>43359</v>
      </c>
      <c r="AD95" s="769" t="s">
        <v>1079</v>
      </c>
      <c r="AE95" s="773" t="s">
        <v>816</v>
      </c>
      <c r="AF95" s="773"/>
      <c r="AG95" s="779"/>
      <c r="AH95" s="769"/>
      <c r="AI95" s="769"/>
      <c r="AJ95" s="774">
        <f t="shared" ca="1" si="8"/>
        <v>17.768595041322314</v>
      </c>
      <c r="AK95" s="775"/>
      <c r="AL95" s="776" t="str">
        <f t="shared" si="7"/>
        <v>16818</v>
      </c>
    </row>
    <row r="96" spans="1:38" ht="170.25" customHeight="1" x14ac:dyDescent="0.25">
      <c r="A96" s="778">
        <v>179</v>
      </c>
      <c r="B96" s="763" t="s">
        <v>1159</v>
      </c>
      <c r="C96" s="764" t="s">
        <v>1160</v>
      </c>
      <c r="D96" s="765">
        <f>+COUNTIF(C:C,C:C)</f>
        <v>1</v>
      </c>
      <c r="E96" s="766" t="s">
        <v>1287</v>
      </c>
      <c r="F96" s="766">
        <v>52747361</v>
      </c>
      <c r="G96" s="766" t="s">
        <v>1288</v>
      </c>
      <c r="H96" s="767">
        <v>43117</v>
      </c>
      <c r="I96" s="768" t="s">
        <v>1161</v>
      </c>
      <c r="J96" s="769" t="s">
        <v>61</v>
      </c>
      <c r="K96" s="769" t="s">
        <v>683</v>
      </c>
      <c r="L96" s="770" t="s">
        <v>1491</v>
      </c>
      <c r="M96" s="770">
        <v>72000000</v>
      </c>
      <c r="N96" s="771"/>
      <c r="O96" s="770">
        <f t="shared" si="9"/>
        <v>72000000</v>
      </c>
      <c r="P96" s="768" t="s">
        <v>1135</v>
      </c>
      <c r="Q96" s="769" t="s">
        <v>1542</v>
      </c>
      <c r="R96" s="769" t="s">
        <v>1305</v>
      </c>
      <c r="S96" s="769" t="s">
        <v>1440</v>
      </c>
      <c r="T96" s="769" t="s">
        <v>1543</v>
      </c>
      <c r="U96" s="769" t="s">
        <v>36</v>
      </c>
      <c r="V96" s="769" t="s">
        <v>36</v>
      </c>
      <c r="W96" s="769" t="s">
        <v>36</v>
      </c>
      <c r="X96" s="768" t="s">
        <v>692</v>
      </c>
      <c r="Y96" s="767">
        <v>43118</v>
      </c>
      <c r="Z96" s="767">
        <v>43360</v>
      </c>
      <c r="AA96" s="772">
        <f t="shared" si="5"/>
        <v>242</v>
      </c>
      <c r="AB96" s="768" t="s">
        <v>148</v>
      </c>
      <c r="AC96" s="767">
        <f t="shared" si="6"/>
        <v>43360</v>
      </c>
      <c r="AD96" s="769" t="s">
        <v>1079</v>
      </c>
      <c r="AE96" s="773" t="s">
        <v>816</v>
      </c>
      <c r="AF96" s="773"/>
      <c r="AG96" s="779"/>
      <c r="AH96" s="769"/>
      <c r="AI96" s="769"/>
      <c r="AJ96" s="774">
        <f t="shared" ca="1" si="8"/>
        <v>17.355371900826448</v>
      </c>
      <c r="AK96" s="775"/>
      <c r="AL96" s="776" t="str">
        <f t="shared" si="7"/>
        <v>15018</v>
      </c>
    </row>
    <row r="97" spans="1:38" ht="170.25" customHeight="1" x14ac:dyDescent="0.25">
      <c r="A97" s="778">
        <v>141</v>
      </c>
      <c r="B97" s="763" t="s">
        <v>1027</v>
      </c>
      <c r="C97" s="764" t="s">
        <v>1028</v>
      </c>
      <c r="D97" s="765">
        <f>+COUNTIF(C:C,C:C)</f>
        <v>1</v>
      </c>
      <c r="E97" s="766" t="s">
        <v>1287</v>
      </c>
      <c r="F97" s="766">
        <v>52259667</v>
      </c>
      <c r="G97" s="766" t="s">
        <v>1288</v>
      </c>
      <c r="H97" s="767">
        <v>43117</v>
      </c>
      <c r="I97" s="768" t="s">
        <v>1023</v>
      </c>
      <c r="J97" s="769" t="s">
        <v>61</v>
      </c>
      <c r="K97" s="769" t="s">
        <v>683</v>
      </c>
      <c r="L97" s="770" t="s">
        <v>1499</v>
      </c>
      <c r="M97" s="770">
        <v>31160000</v>
      </c>
      <c r="N97" s="771"/>
      <c r="O97" s="770">
        <f t="shared" si="9"/>
        <v>31160000</v>
      </c>
      <c r="P97" s="768" t="s">
        <v>1024</v>
      </c>
      <c r="Q97" s="769" t="s">
        <v>1544</v>
      </c>
      <c r="R97" s="769" t="s">
        <v>1291</v>
      </c>
      <c r="S97" s="769" t="s">
        <v>1440</v>
      </c>
      <c r="T97" s="769" t="s">
        <v>1545</v>
      </c>
      <c r="U97" s="769" t="s">
        <v>36</v>
      </c>
      <c r="V97" s="769" t="s">
        <v>36</v>
      </c>
      <c r="W97" s="769" t="s">
        <v>36</v>
      </c>
      <c r="X97" s="768" t="s">
        <v>692</v>
      </c>
      <c r="Y97" s="767">
        <v>43118</v>
      </c>
      <c r="Z97" s="767">
        <v>43360</v>
      </c>
      <c r="AA97" s="772">
        <f t="shared" si="5"/>
        <v>242</v>
      </c>
      <c r="AB97" s="768" t="s">
        <v>148</v>
      </c>
      <c r="AC97" s="767">
        <f t="shared" si="6"/>
        <v>43360</v>
      </c>
      <c r="AD97" s="769" t="s">
        <v>781</v>
      </c>
      <c r="AE97" s="773" t="s">
        <v>782</v>
      </c>
      <c r="AF97" s="773"/>
      <c r="AG97" s="779"/>
      <c r="AH97" s="769"/>
      <c r="AI97" s="769"/>
      <c r="AJ97" s="774">
        <f t="shared" ca="1" si="8"/>
        <v>17.355371900826448</v>
      </c>
      <c r="AK97" s="775"/>
      <c r="AL97" s="776" t="str">
        <f t="shared" si="7"/>
        <v>11318</v>
      </c>
    </row>
    <row r="98" spans="1:38" ht="170.25" customHeight="1" x14ac:dyDescent="0.25">
      <c r="A98" s="778">
        <v>178</v>
      </c>
      <c r="B98" s="763" t="s">
        <v>1157</v>
      </c>
      <c r="C98" s="764" t="s">
        <v>1158</v>
      </c>
      <c r="D98" s="765">
        <f>+COUNTIF(C:C,C:C)</f>
        <v>1</v>
      </c>
      <c r="E98" s="766" t="s">
        <v>1287</v>
      </c>
      <c r="F98" s="766">
        <v>33366843</v>
      </c>
      <c r="G98" s="766" t="s">
        <v>1288</v>
      </c>
      <c r="H98" s="767">
        <v>43117</v>
      </c>
      <c r="I98" s="768" t="s">
        <v>1154</v>
      </c>
      <c r="J98" s="769" t="s">
        <v>61</v>
      </c>
      <c r="K98" s="769" t="s">
        <v>683</v>
      </c>
      <c r="L98" s="770" t="s">
        <v>1502</v>
      </c>
      <c r="M98" s="770">
        <v>48000000</v>
      </c>
      <c r="N98" s="771"/>
      <c r="O98" s="770">
        <f t="shared" si="9"/>
        <v>48000000</v>
      </c>
      <c r="P98" s="768" t="s">
        <v>984</v>
      </c>
      <c r="Q98" s="769" t="s">
        <v>1546</v>
      </c>
      <c r="R98" s="769" t="s">
        <v>1305</v>
      </c>
      <c r="S98" s="769" t="s">
        <v>1440</v>
      </c>
      <c r="T98" s="769" t="s">
        <v>1547</v>
      </c>
      <c r="U98" s="769" t="s">
        <v>36</v>
      </c>
      <c r="V98" s="769" t="s">
        <v>36</v>
      </c>
      <c r="W98" s="769" t="s">
        <v>36</v>
      </c>
      <c r="X98" s="768" t="s">
        <v>985</v>
      </c>
      <c r="Y98" s="767">
        <v>43122</v>
      </c>
      <c r="Z98" s="767">
        <v>43364</v>
      </c>
      <c r="AA98" s="772">
        <f t="shared" si="5"/>
        <v>242</v>
      </c>
      <c r="AB98" s="768" t="s">
        <v>148</v>
      </c>
      <c r="AC98" s="767">
        <f t="shared" si="6"/>
        <v>43364</v>
      </c>
      <c r="AD98" s="769" t="s">
        <v>1079</v>
      </c>
      <c r="AE98" s="773" t="s">
        <v>816</v>
      </c>
      <c r="AF98" s="773"/>
      <c r="AG98" s="779"/>
      <c r="AH98" s="769"/>
      <c r="AI98" s="769"/>
      <c r="AJ98" s="774">
        <f t="shared" ca="1" si="8"/>
        <v>15.702479338842975</v>
      </c>
      <c r="AK98" s="775"/>
      <c r="AL98" s="776" t="str">
        <f t="shared" si="7"/>
        <v>14918</v>
      </c>
    </row>
    <row r="99" spans="1:38" ht="170.25" customHeight="1" x14ac:dyDescent="0.25">
      <c r="A99" s="778">
        <v>79</v>
      </c>
      <c r="B99" s="763" t="s">
        <v>783</v>
      </c>
      <c r="C99" s="764" t="s">
        <v>583</v>
      </c>
      <c r="D99" s="765">
        <f>+COUNTIF(C:C,C:C)</f>
        <v>1</v>
      </c>
      <c r="E99" s="766" t="s">
        <v>1287</v>
      </c>
      <c r="F99" s="766">
        <v>1016081463</v>
      </c>
      <c r="G99" s="766" t="s">
        <v>1288</v>
      </c>
      <c r="H99" s="767">
        <v>43117</v>
      </c>
      <c r="I99" s="768" t="s">
        <v>784</v>
      </c>
      <c r="J99" s="769" t="s">
        <v>61</v>
      </c>
      <c r="K99" s="769" t="s">
        <v>690</v>
      </c>
      <c r="L99" s="770" t="s">
        <v>1548</v>
      </c>
      <c r="M99" s="770">
        <v>14400000</v>
      </c>
      <c r="N99" s="771"/>
      <c r="O99" s="770">
        <f t="shared" si="9"/>
        <v>14400000</v>
      </c>
      <c r="P99" s="768" t="s">
        <v>785</v>
      </c>
      <c r="Q99" s="769" t="s">
        <v>1549</v>
      </c>
      <c r="R99" s="769" t="s">
        <v>1321</v>
      </c>
      <c r="S99" s="769" t="s">
        <v>88</v>
      </c>
      <c r="T99" s="769" t="s">
        <v>1550</v>
      </c>
      <c r="U99" s="769" t="s">
        <v>36</v>
      </c>
      <c r="V99" s="769" t="s">
        <v>36</v>
      </c>
      <c r="W99" s="769" t="s">
        <v>36</v>
      </c>
      <c r="X99" s="768" t="s">
        <v>692</v>
      </c>
      <c r="Y99" s="767">
        <v>43118</v>
      </c>
      <c r="Z99" s="767">
        <v>43360</v>
      </c>
      <c r="AA99" s="772">
        <f t="shared" si="5"/>
        <v>242</v>
      </c>
      <c r="AB99" s="768" t="s">
        <v>148</v>
      </c>
      <c r="AC99" s="767">
        <f t="shared" si="6"/>
        <v>43360</v>
      </c>
      <c r="AD99" s="769" t="s">
        <v>786</v>
      </c>
      <c r="AE99" s="773" t="s">
        <v>247</v>
      </c>
      <c r="AF99" s="773"/>
      <c r="AG99" s="779"/>
      <c r="AH99" s="769"/>
      <c r="AI99" s="769"/>
      <c r="AJ99" s="774">
        <f t="shared" ca="1" si="8"/>
        <v>17.355371900826448</v>
      </c>
      <c r="AK99" s="775"/>
      <c r="AL99" s="776" t="str">
        <f t="shared" si="7"/>
        <v xml:space="preserve">4018 </v>
      </c>
    </row>
    <row r="100" spans="1:38" ht="170.25" customHeight="1" x14ac:dyDescent="0.25">
      <c r="A100" s="778">
        <v>135</v>
      </c>
      <c r="B100" s="763" t="s">
        <v>1006</v>
      </c>
      <c r="C100" s="764" t="s">
        <v>1007</v>
      </c>
      <c r="D100" s="765">
        <f>+COUNTIF(C:C,C:C)</f>
        <v>1</v>
      </c>
      <c r="E100" s="766" t="s">
        <v>1287</v>
      </c>
      <c r="F100" s="766">
        <v>52128985</v>
      </c>
      <c r="G100" s="766" t="s">
        <v>1288</v>
      </c>
      <c r="H100" s="767">
        <v>43117</v>
      </c>
      <c r="I100" s="768" t="s">
        <v>1008</v>
      </c>
      <c r="J100" s="769" t="s">
        <v>61</v>
      </c>
      <c r="K100" s="769" t="s">
        <v>683</v>
      </c>
      <c r="L100" s="770" t="s">
        <v>1551</v>
      </c>
      <c r="M100" s="770">
        <v>37600000</v>
      </c>
      <c r="N100" s="771"/>
      <c r="O100" s="770">
        <f t="shared" si="9"/>
        <v>37600000</v>
      </c>
      <c r="P100" s="768" t="s">
        <v>1009</v>
      </c>
      <c r="Q100" s="769" t="s">
        <v>1552</v>
      </c>
      <c r="R100" s="769" t="s">
        <v>1291</v>
      </c>
      <c r="S100" s="769" t="s">
        <v>88</v>
      </c>
      <c r="T100" s="769" t="s">
        <v>1553</v>
      </c>
      <c r="U100" s="769" t="s">
        <v>36</v>
      </c>
      <c r="V100" s="769" t="s">
        <v>36</v>
      </c>
      <c r="W100" s="769" t="s">
        <v>36</v>
      </c>
      <c r="X100" s="768" t="s">
        <v>692</v>
      </c>
      <c r="Y100" s="767">
        <v>43119</v>
      </c>
      <c r="Z100" s="767">
        <v>43361</v>
      </c>
      <c r="AA100" s="772">
        <f t="shared" si="5"/>
        <v>242</v>
      </c>
      <c r="AB100" s="768" t="s">
        <v>148</v>
      </c>
      <c r="AC100" s="767">
        <f t="shared" si="6"/>
        <v>43361</v>
      </c>
      <c r="AD100" s="769" t="s">
        <v>888</v>
      </c>
      <c r="AE100" s="773" t="s">
        <v>540</v>
      </c>
      <c r="AF100" s="773"/>
      <c r="AG100" s="779"/>
      <c r="AH100" s="769"/>
      <c r="AI100" s="769"/>
      <c r="AJ100" s="774">
        <f t="shared" ca="1" si="8"/>
        <v>16.942148760330578</v>
      </c>
      <c r="AK100" s="775"/>
      <c r="AL100" s="776" t="str">
        <f t="shared" si="7"/>
        <v>10718</v>
      </c>
    </row>
    <row r="101" spans="1:38" ht="170.25" customHeight="1" x14ac:dyDescent="0.25">
      <c r="A101" s="778">
        <v>120</v>
      </c>
      <c r="B101" s="763" t="s">
        <v>943</v>
      </c>
      <c r="C101" s="764" t="s">
        <v>944</v>
      </c>
      <c r="D101" s="765">
        <f>+COUNTIF(C:C,C:C)</f>
        <v>1</v>
      </c>
      <c r="E101" s="766" t="s">
        <v>1287</v>
      </c>
      <c r="F101" s="766">
        <v>1018471876</v>
      </c>
      <c r="G101" s="766" t="s">
        <v>1288</v>
      </c>
      <c r="H101" s="767">
        <v>43117</v>
      </c>
      <c r="I101" s="768" t="s">
        <v>945</v>
      </c>
      <c r="J101" s="769" t="s">
        <v>61</v>
      </c>
      <c r="K101" s="769" t="s">
        <v>690</v>
      </c>
      <c r="L101" s="770" t="s">
        <v>1554</v>
      </c>
      <c r="M101" s="770">
        <v>4050000</v>
      </c>
      <c r="N101" s="771"/>
      <c r="O101" s="770">
        <f t="shared" si="9"/>
        <v>4050000</v>
      </c>
      <c r="P101" s="768" t="s">
        <v>946</v>
      </c>
      <c r="Q101" s="769" t="s">
        <v>1555</v>
      </c>
      <c r="R101" s="769" t="s">
        <v>1291</v>
      </c>
      <c r="S101" s="769" t="s">
        <v>88</v>
      </c>
      <c r="T101" s="769" t="s">
        <v>1556</v>
      </c>
      <c r="U101" s="769" t="s">
        <v>36</v>
      </c>
      <c r="V101" s="769" t="s">
        <v>36</v>
      </c>
      <c r="W101" s="769" t="s">
        <v>36</v>
      </c>
      <c r="X101" s="768" t="s">
        <v>934</v>
      </c>
      <c r="Y101" s="767">
        <v>43122</v>
      </c>
      <c r="Z101" s="767">
        <v>43211</v>
      </c>
      <c r="AA101" s="772">
        <f t="shared" si="5"/>
        <v>89</v>
      </c>
      <c r="AB101" s="768" t="s">
        <v>148</v>
      </c>
      <c r="AC101" s="767">
        <f t="shared" si="6"/>
        <v>43211</v>
      </c>
      <c r="AD101" s="769" t="s">
        <v>839</v>
      </c>
      <c r="AE101" s="773" t="s">
        <v>840</v>
      </c>
      <c r="AF101" s="773"/>
      <c r="AG101" s="779"/>
      <c r="AH101" s="769"/>
      <c r="AI101" s="769"/>
      <c r="AJ101" s="774">
        <f t="shared" ca="1" si="8"/>
        <v>42.696629213483142</v>
      </c>
      <c r="AK101" s="775"/>
      <c r="AL101" s="776" t="str">
        <f t="shared" si="7"/>
        <v>17118</v>
      </c>
    </row>
    <row r="102" spans="1:38" ht="170.25" customHeight="1" x14ac:dyDescent="0.25">
      <c r="A102" s="778">
        <v>195</v>
      </c>
      <c r="B102" s="763" t="s">
        <v>1197</v>
      </c>
      <c r="C102" s="764" t="s">
        <v>1198</v>
      </c>
      <c r="D102" s="765">
        <f>+COUNTIF(C:C,C:C)</f>
        <v>1</v>
      </c>
      <c r="E102" s="766" t="s">
        <v>1287</v>
      </c>
      <c r="F102" s="766">
        <v>52774062</v>
      </c>
      <c r="G102" s="766" t="s">
        <v>1288</v>
      </c>
      <c r="H102" s="767">
        <v>43117</v>
      </c>
      <c r="I102" s="768" t="s">
        <v>1164</v>
      </c>
      <c r="J102" s="769" t="s">
        <v>61</v>
      </c>
      <c r="K102" s="769" t="s">
        <v>683</v>
      </c>
      <c r="L102" s="770" t="s">
        <v>1442</v>
      </c>
      <c r="M102" s="770">
        <v>59500000</v>
      </c>
      <c r="N102" s="771"/>
      <c r="O102" s="770">
        <f t="shared" si="9"/>
        <v>59500000</v>
      </c>
      <c r="P102" s="768" t="s">
        <v>1165</v>
      </c>
      <c r="Q102" s="769" t="s">
        <v>1557</v>
      </c>
      <c r="R102" s="769" t="s">
        <v>1305</v>
      </c>
      <c r="S102" s="769" t="s">
        <v>88</v>
      </c>
      <c r="T102" s="769" t="s">
        <v>1558</v>
      </c>
      <c r="U102" s="769" t="s">
        <v>36</v>
      </c>
      <c r="V102" s="769" t="s">
        <v>36</v>
      </c>
      <c r="W102" s="769" t="s">
        <v>36</v>
      </c>
      <c r="X102" s="768" t="s">
        <v>692</v>
      </c>
      <c r="Y102" s="767">
        <v>43122</v>
      </c>
      <c r="Z102" s="767">
        <v>43364</v>
      </c>
      <c r="AA102" s="772">
        <f t="shared" si="5"/>
        <v>242</v>
      </c>
      <c r="AB102" s="768" t="s">
        <v>148</v>
      </c>
      <c r="AC102" s="767">
        <f t="shared" si="6"/>
        <v>43364</v>
      </c>
      <c r="AD102" s="769" t="s">
        <v>1079</v>
      </c>
      <c r="AE102" s="773" t="s">
        <v>816</v>
      </c>
      <c r="AF102" s="773"/>
      <c r="AG102" s="779"/>
      <c r="AH102" s="769"/>
      <c r="AI102" s="769"/>
      <c r="AJ102" s="774">
        <f t="shared" ca="1" si="8"/>
        <v>15.702479338842975</v>
      </c>
      <c r="AK102" s="775"/>
      <c r="AL102" s="776" t="str">
        <f t="shared" si="7"/>
        <v>16618</v>
      </c>
    </row>
    <row r="103" spans="1:38" ht="170.25" customHeight="1" x14ac:dyDescent="0.25">
      <c r="A103" s="778">
        <v>137</v>
      </c>
      <c r="B103" s="763" t="s">
        <v>1015</v>
      </c>
      <c r="C103" s="764" t="s">
        <v>1016</v>
      </c>
      <c r="D103" s="765">
        <f>+COUNTIF(C:C,C:C)</f>
        <v>1</v>
      </c>
      <c r="E103" s="766" t="s">
        <v>1287</v>
      </c>
      <c r="F103" s="766">
        <v>79952980</v>
      </c>
      <c r="G103" s="766" t="s">
        <v>1299</v>
      </c>
      <c r="H103" s="767">
        <v>43117</v>
      </c>
      <c r="I103" s="768" t="s">
        <v>1017</v>
      </c>
      <c r="J103" s="769" t="s">
        <v>61</v>
      </c>
      <c r="K103" s="769" t="s">
        <v>683</v>
      </c>
      <c r="L103" s="770" t="s">
        <v>1471</v>
      </c>
      <c r="M103" s="770">
        <v>41848000</v>
      </c>
      <c r="N103" s="771"/>
      <c r="O103" s="770">
        <f t="shared" si="9"/>
        <v>41848000</v>
      </c>
      <c r="P103" s="768" t="s">
        <v>1018</v>
      </c>
      <c r="Q103" s="769" t="s">
        <v>1559</v>
      </c>
      <c r="R103" s="769" t="s">
        <v>1291</v>
      </c>
      <c r="S103" s="769" t="s">
        <v>1440</v>
      </c>
      <c r="T103" s="769" t="s">
        <v>1560</v>
      </c>
      <c r="U103" s="769" t="s">
        <v>36</v>
      </c>
      <c r="V103" s="769" t="s">
        <v>36</v>
      </c>
      <c r="W103" s="769" t="s">
        <v>36</v>
      </c>
      <c r="X103" s="768" t="s">
        <v>692</v>
      </c>
      <c r="Y103" s="767">
        <v>43117</v>
      </c>
      <c r="Z103" s="767">
        <v>43359</v>
      </c>
      <c r="AA103" s="772">
        <f t="shared" si="5"/>
        <v>242</v>
      </c>
      <c r="AB103" s="768" t="s">
        <v>148</v>
      </c>
      <c r="AC103" s="767">
        <f t="shared" si="6"/>
        <v>43359</v>
      </c>
      <c r="AD103" s="769" t="s">
        <v>781</v>
      </c>
      <c r="AE103" s="773" t="s">
        <v>782</v>
      </c>
      <c r="AF103" s="773"/>
      <c r="AG103" s="779"/>
      <c r="AH103" s="769"/>
      <c r="AI103" s="769"/>
      <c r="AJ103" s="774">
        <f t="shared" ca="1" si="8"/>
        <v>17.768595041322314</v>
      </c>
      <c r="AK103" s="775"/>
      <c r="AL103" s="776" t="str">
        <f t="shared" si="7"/>
        <v>10918</v>
      </c>
    </row>
    <row r="104" spans="1:38" ht="170.25" customHeight="1" x14ac:dyDescent="0.25">
      <c r="A104" s="778">
        <v>117</v>
      </c>
      <c r="B104" s="763" t="s">
        <v>930</v>
      </c>
      <c r="C104" s="764" t="s">
        <v>931</v>
      </c>
      <c r="D104" s="765">
        <f>+COUNTIF(C:C,C:C)</f>
        <v>1</v>
      </c>
      <c r="E104" s="766" t="s">
        <v>1287</v>
      </c>
      <c r="F104" s="766">
        <v>41324092</v>
      </c>
      <c r="G104" s="766" t="s">
        <v>1288</v>
      </c>
      <c r="H104" s="767">
        <v>43117</v>
      </c>
      <c r="I104" s="768" t="s">
        <v>932</v>
      </c>
      <c r="J104" s="769" t="s">
        <v>61</v>
      </c>
      <c r="K104" s="769" t="s">
        <v>683</v>
      </c>
      <c r="L104" s="770" t="s">
        <v>1561</v>
      </c>
      <c r="M104" s="770">
        <v>21498000</v>
      </c>
      <c r="N104" s="771"/>
      <c r="O104" s="770">
        <f t="shared" si="9"/>
        <v>21498000</v>
      </c>
      <c r="P104" s="768" t="s">
        <v>933</v>
      </c>
      <c r="Q104" s="769" t="s">
        <v>1562</v>
      </c>
      <c r="R104" s="769" t="s">
        <v>1291</v>
      </c>
      <c r="S104" s="769" t="s">
        <v>1440</v>
      </c>
      <c r="T104" s="769" t="s">
        <v>1563</v>
      </c>
      <c r="U104" s="769" t="s">
        <v>36</v>
      </c>
      <c r="V104" s="769" t="s">
        <v>36</v>
      </c>
      <c r="W104" s="769" t="s">
        <v>36</v>
      </c>
      <c r="X104" s="768" t="s">
        <v>934</v>
      </c>
      <c r="Y104" s="767">
        <v>43122</v>
      </c>
      <c r="Z104" s="767">
        <v>43211</v>
      </c>
      <c r="AA104" s="772">
        <f t="shared" si="5"/>
        <v>89</v>
      </c>
      <c r="AB104" s="768" t="s">
        <v>148</v>
      </c>
      <c r="AC104" s="767">
        <f t="shared" si="6"/>
        <v>43211</v>
      </c>
      <c r="AD104" s="769" t="s">
        <v>839</v>
      </c>
      <c r="AE104" s="773" t="s">
        <v>840</v>
      </c>
      <c r="AF104" s="773"/>
      <c r="AG104" s="779"/>
      <c r="AH104" s="769"/>
      <c r="AI104" s="769"/>
      <c r="AJ104" s="774">
        <f t="shared" ca="1" si="8"/>
        <v>42.696629213483142</v>
      </c>
      <c r="AK104" s="775"/>
      <c r="AL104" s="776" t="str">
        <f t="shared" si="7"/>
        <v xml:space="preserve">9018 </v>
      </c>
    </row>
    <row r="105" spans="1:38" ht="170.25" customHeight="1" x14ac:dyDescent="0.25">
      <c r="A105" s="778">
        <v>118</v>
      </c>
      <c r="B105" s="763" t="s">
        <v>935</v>
      </c>
      <c r="C105" s="764" t="s">
        <v>936</v>
      </c>
      <c r="D105" s="765">
        <f>+COUNTIF(C:C,C:C)</f>
        <v>1</v>
      </c>
      <c r="E105" s="766" t="s">
        <v>1287</v>
      </c>
      <c r="F105" s="766">
        <v>80250958</v>
      </c>
      <c r="G105" s="766" t="s">
        <v>1299</v>
      </c>
      <c r="H105" s="767">
        <v>43117</v>
      </c>
      <c r="I105" s="768" t="s">
        <v>937</v>
      </c>
      <c r="J105" s="769" t="s">
        <v>61</v>
      </c>
      <c r="K105" s="769" t="s">
        <v>683</v>
      </c>
      <c r="L105" s="770" t="s">
        <v>1564</v>
      </c>
      <c r="M105" s="770">
        <v>15693000</v>
      </c>
      <c r="N105" s="771"/>
      <c r="O105" s="770">
        <f t="shared" si="9"/>
        <v>15693000</v>
      </c>
      <c r="P105" s="768" t="s">
        <v>938</v>
      </c>
      <c r="Q105" s="769" t="s">
        <v>1565</v>
      </c>
      <c r="R105" s="769" t="s">
        <v>1291</v>
      </c>
      <c r="S105" s="769" t="s">
        <v>1440</v>
      </c>
      <c r="T105" s="769" t="s">
        <v>1566</v>
      </c>
      <c r="U105" s="769" t="s">
        <v>36</v>
      </c>
      <c r="V105" s="769" t="s">
        <v>36</v>
      </c>
      <c r="W105" s="769" t="s">
        <v>36</v>
      </c>
      <c r="X105" s="768" t="s">
        <v>934</v>
      </c>
      <c r="Y105" s="767">
        <v>43122</v>
      </c>
      <c r="Z105" s="767">
        <v>43211</v>
      </c>
      <c r="AA105" s="772">
        <f t="shared" si="5"/>
        <v>89</v>
      </c>
      <c r="AB105" s="768" t="s">
        <v>148</v>
      </c>
      <c r="AC105" s="767">
        <f t="shared" si="6"/>
        <v>43211</v>
      </c>
      <c r="AD105" s="769" t="s">
        <v>839</v>
      </c>
      <c r="AE105" s="773" t="s">
        <v>840</v>
      </c>
      <c r="AF105" s="773"/>
      <c r="AG105" s="779"/>
      <c r="AH105" s="769"/>
      <c r="AI105" s="769"/>
      <c r="AJ105" s="774">
        <f t="shared" ca="1" si="8"/>
        <v>42.696629213483142</v>
      </c>
      <c r="AK105" s="775"/>
      <c r="AL105" s="776" t="str">
        <f t="shared" si="7"/>
        <v>16918</v>
      </c>
    </row>
    <row r="106" spans="1:38" ht="170.25" customHeight="1" x14ac:dyDescent="0.25">
      <c r="A106" s="778">
        <v>119</v>
      </c>
      <c r="B106" s="763" t="s">
        <v>939</v>
      </c>
      <c r="C106" s="764" t="s">
        <v>940</v>
      </c>
      <c r="D106" s="765">
        <f>+COUNTIF(C:C,C:C)</f>
        <v>1</v>
      </c>
      <c r="E106" s="766" t="s">
        <v>1287</v>
      </c>
      <c r="F106" s="766">
        <v>80449490</v>
      </c>
      <c r="G106" s="766" t="s">
        <v>1299</v>
      </c>
      <c r="H106" s="767">
        <v>43117</v>
      </c>
      <c r="I106" s="768" t="s">
        <v>941</v>
      </c>
      <c r="J106" s="769" t="s">
        <v>61</v>
      </c>
      <c r="K106" s="769" t="s">
        <v>683</v>
      </c>
      <c r="L106" s="770" t="s">
        <v>1567</v>
      </c>
      <c r="M106" s="770">
        <v>19182000</v>
      </c>
      <c r="N106" s="771"/>
      <c r="O106" s="770">
        <f t="shared" si="9"/>
        <v>19182000</v>
      </c>
      <c r="P106" s="768" t="s">
        <v>942</v>
      </c>
      <c r="Q106" s="769" t="s">
        <v>1568</v>
      </c>
      <c r="R106" s="769" t="s">
        <v>1291</v>
      </c>
      <c r="S106" s="769" t="s">
        <v>1440</v>
      </c>
      <c r="T106" s="769" t="s">
        <v>1569</v>
      </c>
      <c r="U106" s="769" t="s">
        <v>36</v>
      </c>
      <c r="V106" s="769" t="s">
        <v>36</v>
      </c>
      <c r="W106" s="769" t="s">
        <v>36</v>
      </c>
      <c r="X106" s="768" t="s">
        <v>934</v>
      </c>
      <c r="Y106" s="767">
        <v>43122</v>
      </c>
      <c r="Z106" s="767">
        <v>43211</v>
      </c>
      <c r="AA106" s="772">
        <f t="shared" si="5"/>
        <v>89</v>
      </c>
      <c r="AB106" s="768" t="s">
        <v>148</v>
      </c>
      <c r="AC106" s="767">
        <f t="shared" si="6"/>
        <v>43211</v>
      </c>
      <c r="AD106" s="769" t="s">
        <v>839</v>
      </c>
      <c r="AE106" s="773" t="s">
        <v>840</v>
      </c>
      <c r="AF106" s="773"/>
      <c r="AG106" s="779"/>
      <c r="AH106" s="769"/>
      <c r="AI106" s="769"/>
      <c r="AJ106" s="774">
        <f t="shared" ca="1" si="8"/>
        <v>42.696629213483142</v>
      </c>
      <c r="AK106" s="775"/>
      <c r="AL106" s="776" t="str">
        <f t="shared" si="7"/>
        <v xml:space="preserve">9118 </v>
      </c>
    </row>
    <row r="107" spans="1:38" ht="170.25" customHeight="1" x14ac:dyDescent="0.25">
      <c r="A107" s="778">
        <v>165</v>
      </c>
      <c r="B107" s="763" t="s">
        <v>1116</v>
      </c>
      <c r="C107" s="764" t="s">
        <v>1117</v>
      </c>
      <c r="D107" s="765">
        <f>+COUNTIF(C:C,C:C)</f>
        <v>1</v>
      </c>
      <c r="E107" s="766" t="s">
        <v>1287</v>
      </c>
      <c r="F107" s="766">
        <v>1016014869</v>
      </c>
      <c r="G107" s="766" t="s">
        <v>1288</v>
      </c>
      <c r="H107" s="767">
        <v>43117</v>
      </c>
      <c r="I107" s="768" t="s">
        <v>1118</v>
      </c>
      <c r="J107" s="769" t="s">
        <v>61</v>
      </c>
      <c r="K107" s="769" t="s">
        <v>690</v>
      </c>
      <c r="L107" s="770" t="s">
        <v>1570</v>
      </c>
      <c r="M107" s="770">
        <v>16000000</v>
      </c>
      <c r="N107" s="771"/>
      <c r="O107" s="770">
        <f t="shared" si="9"/>
        <v>16000000</v>
      </c>
      <c r="P107" s="768" t="s">
        <v>1119</v>
      </c>
      <c r="Q107" s="769" t="s">
        <v>1571</v>
      </c>
      <c r="R107" s="769" t="s">
        <v>1305</v>
      </c>
      <c r="S107" s="769" t="s">
        <v>1440</v>
      </c>
      <c r="T107" s="769" t="s">
        <v>1572</v>
      </c>
      <c r="U107" s="769" t="s">
        <v>36</v>
      </c>
      <c r="V107" s="769" t="s">
        <v>36</v>
      </c>
      <c r="W107" s="769" t="s">
        <v>36</v>
      </c>
      <c r="X107" s="768" t="s">
        <v>692</v>
      </c>
      <c r="Y107" s="767">
        <v>43118</v>
      </c>
      <c r="Z107" s="767">
        <v>43360</v>
      </c>
      <c r="AA107" s="772">
        <f t="shared" si="5"/>
        <v>242</v>
      </c>
      <c r="AB107" s="768" t="s">
        <v>148</v>
      </c>
      <c r="AC107" s="767">
        <f t="shared" si="6"/>
        <v>43360</v>
      </c>
      <c r="AD107" s="769" t="s">
        <v>1079</v>
      </c>
      <c r="AE107" s="773" t="s">
        <v>816</v>
      </c>
      <c r="AF107" s="773"/>
      <c r="AG107" s="779"/>
      <c r="AH107" s="769"/>
      <c r="AI107" s="769"/>
      <c r="AJ107" s="774">
        <f t="shared" ca="1" si="8"/>
        <v>17.355371900826448</v>
      </c>
      <c r="AK107" s="775"/>
      <c r="AL107" s="776" t="str">
        <f t="shared" si="7"/>
        <v>13618</v>
      </c>
    </row>
    <row r="108" spans="1:38" ht="170.25" customHeight="1" x14ac:dyDescent="0.25">
      <c r="A108" s="778">
        <v>166</v>
      </c>
      <c r="B108" s="763" t="s">
        <v>1120</v>
      </c>
      <c r="C108" s="764" t="s">
        <v>1121</v>
      </c>
      <c r="D108" s="765">
        <f>+COUNTIF(C:C,C:C)</f>
        <v>1</v>
      </c>
      <c r="E108" s="766" t="s">
        <v>1287</v>
      </c>
      <c r="F108" s="766">
        <v>38212117</v>
      </c>
      <c r="G108" s="766" t="s">
        <v>1288</v>
      </c>
      <c r="H108" s="767">
        <v>43117</v>
      </c>
      <c r="I108" s="768" t="s">
        <v>1122</v>
      </c>
      <c r="J108" s="769" t="s">
        <v>61</v>
      </c>
      <c r="K108" s="769" t="s">
        <v>683</v>
      </c>
      <c r="L108" s="770" t="s">
        <v>1573</v>
      </c>
      <c r="M108" s="770">
        <v>40000000</v>
      </c>
      <c r="N108" s="771"/>
      <c r="O108" s="770">
        <f t="shared" si="9"/>
        <v>40000000</v>
      </c>
      <c r="P108" s="768" t="s">
        <v>1032</v>
      </c>
      <c r="Q108" s="769" t="s">
        <v>1574</v>
      </c>
      <c r="R108" s="769" t="s">
        <v>1305</v>
      </c>
      <c r="S108" s="769" t="s">
        <v>1440</v>
      </c>
      <c r="T108" s="769" t="s">
        <v>1575</v>
      </c>
      <c r="U108" s="769" t="s">
        <v>36</v>
      </c>
      <c r="V108" s="769" t="s">
        <v>36</v>
      </c>
      <c r="W108" s="769" t="s">
        <v>36</v>
      </c>
      <c r="X108" s="768" t="s">
        <v>692</v>
      </c>
      <c r="Y108" s="767">
        <v>43118</v>
      </c>
      <c r="Z108" s="767">
        <v>43360</v>
      </c>
      <c r="AA108" s="772">
        <f t="shared" si="5"/>
        <v>242</v>
      </c>
      <c r="AB108" s="768" t="s">
        <v>148</v>
      </c>
      <c r="AC108" s="767">
        <f t="shared" si="6"/>
        <v>43360</v>
      </c>
      <c r="AD108" s="769" t="s">
        <v>1079</v>
      </c>
      <c r="AE108" s="773" t="s">
        <v>816</v>
      </c>
      <c r="AF108" s="773"/>
      <c r="AG108" s="779"/>
      <c r="AH108" s="769"/>
      <c r="AI108" s="769"/>
      <c r="AJ108" s="774">
        <f t="shared" ca="1" si="8"/>
        <v>17.355371900826448</v>
      </c>
      <c r="AK108" s="775"/>
      <c r="AL108" s="776" t="str">
        <f t="shared" si="7"/>
        <v>13718</v>
      </c>
    </row>
    <row r="109" spans="1:38" ht="170.25" customHeight="1" x14ac:dyDescent="0.25">
      <c r="A109" s="778">
        <v>158</v>
      </c>
      <c r="B109" s="763" t="s">
        <v>1091</v>
      </c>
      <c r="C109" s="764" t="s">
        <v>1092</v>
      </c>
      <c r="D109" s="765">
        <f>+COUNTIF(C:C,C:C)</f>
        <v>1</v>
      </c>
      <c r="E109" s="766" t="s">
        <v>1287</v>
      </c>
      <c r="F109" s="766">
        <v>91080756</v>
      </c>
      <c r="G109" s="766" t="s">
        <v>1299</v>
      </c>
      <c r="H109" s="767">
        <v>43118</v>
      </c>
      <c r="I109" s="768" t="s">
        <v>1093</v>
      </c>
      <c r="J109" s="769" t="s">
        <v>61</v>
      </c>
      <c r="K109" s="769" t="s">
        <v>683</v>
      </c>
      <c r="L109" s="770" t="s">
        <v>1474</v>
      </c>
      <c r="M109" s="770">
        <v>35616000</v>
      </c>
      <c r="N109" s="771"/>
      <c r="O109" s="770">
        <f t="shared" si="9"/>
        <v>35616000</v>
      </c>
      <c r="P109" s="768" t="s">
        <v>1094</v>
      </c>
      <c r="Q109" s="769" t="s">
        <v>1576</v>
      </c>
      <c r="R109" s="769" t="s">
        <v>1291</v>
      </c>
      <c r="S109" s="769" t="s">
        <v>1440</v>
      </c>
      <c r="T109" s="769" t="s">
        <v>1577</v>
      </c>
      <c r="U109" s="769" t="s">
        <v>36</v>
      </c>
      <c r="V109" s="769" t="s">
        <v>36</v>
      </c>
      <c r="W109" s="769" t="s">
        <v>36</v>
      </c>
      <c r="X109" s="768" t="s">
        <v>692</v>
      </c>
      <c r="Y109" s="767">
        <v>43122</v>
      </c>
      <c r="Z109" s="767">
        <v>43364</v>
      </c>
      <c r="AA109" s="772">
        <f t="shared" si="5"/>
        <v>242</v>
      </c>
      <c r="AB109" s="768" t="s">
        <v>148</v>
      </c>
      <c r="AC109" s="767">
        <f t="shared" si="6"/>
        <v>43364</v>
      </c>
      <c r="AD109" s="769" t="s">
        <v>874</v>
      </c>
      <c r="AE109" s="773" t="s">
        <v>875</v>
      </c>
      <c r="AF109" s="773"/>
      <c r="AG109" s="779"/>
      <c r="AH109" s="769"/>
      <c r="AI109" s="769"/>
      <c r="AJ109" s="774">
        <f t="shared" ca="1" si="8"/>
        <v>15.702479338842975</v>
      </c>
      <c r="AK109" s="775"/>
      <c r="AL109" s="776" t="str">
        <f t="shared" si="7"/>
        <v>12918</v>
      </c>
    </row>
    <row r="110" spans="1:38" ht="170.25" customHeight="1" x14ac:dyDescent="0.25">
      <c r="A110" s="778">
        <v>152</v>
      </c>
      <c r="B110" s="763" t="s">
        <v>1072</v>
      </c>
      <c r="C110" s="764" t="s">
        <v>1073</v>
      </c>
      <c r="D110" s="765">
        <f>+COUNTIF(C:C,C:C)</f>
        <v>1</v>
      </c>
      <c r="E110" s="766" t="s">
        <v>1287</v>
      </c>
      <c r="F110" s="766">
        <v>1018477790</v>
      </c>
      <c r="G110" s="766" t="s">
        <v>1299</v>
      </c>
      <c r="H110" s="767">
        <v>43118</v>
      </c>
      <c r="I110" s="768" t="s">
        <v>1074</v>
      </c>
      <c r="J110" s="769" t="s">
        <v>61</v>
      </c>
      <c r="K110" s="769" t="s">
        <v>690</v>
      </c>
      <c r="L110" s="770" t="s">
        <v>1578</v>
      </c>
      <c r="M110" s="770">
        <v>15272000</v>
      </c>
      <c r="N110" s="771"/>
      <c r="O110" s="770">
        <f t="shared" si="9"/>
        <v>15272000</v>
      </c>
      <c r="P110" s="768" t="s">
        <v>970</v>
      </c>
      <c r="Q110" s="769" t="s">
        <v>1579</v>
      </c>
      <c r="R110" s="769" t="s">
        <v>1291</v>
      </c>
      <c r="S110" s="769" t="s">
        <v>1440</v>
      </c>
      <c r="T110" s="769" t="s">
        <v>1580</v>
      </c>
      <c r="U110" s="769" t="s">
        <v>36</v>
      </c>
      <c r="V110" s="769" t="s">
        <v>36</v>
      </c>
      <c r="W110" s="769" t="s">
        <v>36</v>
      </c>
      <c r="X110" s="768" t="s">
        <v>692</v>
      </c>
      <c r="Y110" s="767">
        <v>43122</v>
      </c>
      <c r="Z110" s="767">
        <v>43364</v>
      </c>
      <c r="AA110" s="772">
        <f t="shared" si="5"/>
        <v>242</v>
      </c>
      <c r="AB110" s="768" t="s">
        <v>148</v>
      </c>
      <c r="AC110" s="767">
        <f t="shared" si="6"/>
        <v>43364</v>
      </c>
      <c r="AD110" s="769" t="s">
        <v>1063</v>
      </c>
      <c r="AE110" s="773" t="s">
        <v>849</v>
      </c>
      <c r="AF110" s="773"/>
      <c r="AG110" s="779"/>
      <c r="AH110" s="769"/>
      <c r="AI110" s="769"/>
      <c r="AJ110" s="774">
        <f t="shared" ca="1" si="8"/>
        <v>15.702479338842975</v>
      </c>
      <c r="AK110" s="775"/>
      <c r="AL110" s="776" t="str">
        <f t="shared" si="7"/>
        <v>12318</v>
      </c>
    </row>
    <row r="111" spans="1:38" ht="170.25" customHeight="1" x14ac:dyDescent="0.25">
      <c r="A111" s="778">
        <v>126</v>
      </c>
      <c r="B111" s="763" t="s">
        <v>967</v>
      </c>
      <c r="C111" s="764" t="s">
        <v>968</v>
      </c>
      <c r="D111" s="765">
        <f>+COUNTIF(C:C,C:C)</f>
        <v>1</v>
      </c>
      <c r="E111" s="766" t="s">
        <v>1287</v>
      </c>
      <c r="F111" s="766">
        <v>1026283439</v>
      </c>
      <c r="G111" s="766" t="s">
        <v>1299</v>
      </c>
      <c r="H111" s="767">
        <v>43118</v>
      </c>
      <c r="I111" s="768" t="s">
        <v>969</v>
      </c>
      <c r="J111" s="769" t="s">
        <v>61</v>
      </c>
      <c r="K111" s="769" t="s">
        <v>690</v>
      </c>
      <c r="L111" s="770" t="s">
        <v>1578</v>
      </c>
      <c r="M111" s="770">
        <v>15272000</v>
      </c>
      <c r="N111" s="771"/>
      <c r="O111" s="770">
        <f t="shared" si="9"/>
        <v>15272000</v>
      </c>
      <c r="P111" s="768" t="s">
        <v>970</v>
      </c>
      <c r="Q111" s="769" t="s">
        <v>1581</v>
      </c>
      <c r="R111" s="769" t="s">
        <v>1291</v>
      </c>
      <c r="S111" s="769" t="s">
        <v>1440</v>
      </c>
      <c r="T111" s="769" t="s">
        <v>1582</v>
      </c>
      <c r="U111" s="769" t="s">
        <v>36</v>
      </c>
      <c r="V111" s="769" t="s">
        <v>36</v>
      </c>
      <c r="W111" s="769" t="s">
        <v>36</v>
      </c>
      <c r="X111" s="768" t="s">
        <v>692</v>
      </c>
      <c r="Y111" s="767">
        <v>43119</v>
      </c>
      <c r="Z111" s="767">
        <v>43361</v>
      </c>
      <c r="AA111" s="772">
        <f t="shared" si="5"/>
        <v>242</v>
      </c>
      <c r="AB111" s="768" t="s">
        <v>148</v>
      </c>
      <c r="AC111" s="767">
        <f t="shared" si="6"/>
        <v>43361</v>
      </c>
      <c r="AD111" s="769" t="s">
        <v>839</v>
      </c>
      <c r="AE111" s="773" t="s">
        <v>840</v>
      </c>
      <c r="AF111" s="773"/>
      <c r="AG111" s="779"/>
      <c r="AH111" s="769"/>
      <c r="AI111" s="769"/>
      <c r="AJ111" s="774">
        <f t="shared" ca="1" si="8"/>
        <v>16.942148760330578</v>
      </c>
      <c r="AK111" s="775"/>
      <c r="AL111" s="776" t="str">
        <f t="shared" si="7"/>
        <v>17218</v>
      </c>
    </row>
    <row r="112" spans="1:38" ht="170.25" customHeight="1" x14ac:dyDescent="0.25">
      <c r="A112" s="778">
        <v>130</v>
      </c>
      <c r="B112" s="763" t="s">
        <v>986</v>
      </c>
      <c r="C112" s="764" t="s">
        <v>987</v>
      </c>
      <c r="D112" s="765">
        <f>+COUNTIF(C:C,C:C)</f>
        <v>1</v>
      </c>
      <c r="E112" s="766" t="s">
        <v>1287</v>
      </c>
      <c r="F112" s="766">
        <v>80818173</v>
      </c>
      <c r="G112" s="766" t="s">
        <v>1299</v>
      </c>
      <c r="H112" s="767">
        <v>43118</v>
      </c>
      <c r="I112" s="768" t="s">
        <v>988</v>
      </c>
      <c r="J112" s="769" t="s">
        <v>61</v>
      </c>
      <c r="K112" s="769" t="s">
        <v>683</v>
      </c>
      <c r="L112" s="770" t="s">
        <v>1346</v>
      </c>
      <c r="M112" s="770">
        <v>32550000</v>
      </c>
      <c r="N112" s="771"/>
      <c r="O112" s="770">
        <f t="shared" si="9"/>
        <v>32550000</v>
      </c>
      <c r="P112" s="768" t="s">
        <v>989</v>
      </c>
      <c r="Q112" s="769" t="s">
        <v>1583</v>
      </c>
      <c r="R112" s="769" t="s">
        <v>1291</v>
      </c>
      <c r="S112" s="769" t="s">
        <v>1440</v>
      </c>
      <c r="T112" s="769" t="s">
        <v>1584</v>
      </c>
      <c r="U112" s="769" t="s">
        <v>36</v>
      </c>
      <c r="V112" s="769" t="s">
        <v>36</v>
      </c>
      <c r="W112" s="769" t="s">
        <v>36</v>
      </c>
      <c r="X112" s="768" t="s">
        <v>858</v>
      </c>
      <c r="Y112" s="767">
        <v>43119</v>
      </c>
      <c r="Z112" s="767">
        <v>43269</v>
      </c>
      <c r="AA112" s="772">
        <f t="shared" si="5"/>
        <v>150</v>
      </c>
      <c r="AB112" s="768" t="s">
        <v>148</v>
      </c>
      <c r="AC112" s="767">
        <f t="shared" si="6"/>
        <v>43269</v>
      </c>
      <c r="AD112" s="769" t="s">
        <v>917</v>
      </c>
      <c r="AE112" s="773" t="s">
        <v>901</v>
      </c>
      <c r="AF112" s="773"/>
      <c r="AG112" s="779"/>
      <c r="AH112" s="769"/>
      <c r="AI112" s="769"/>
      <c r="AJ112" s="774">
        <f t="shared" ca="1" si="8"/>
        <v>27.333333333333332</v>
      </c>
      <c r="AK112" s="775"/>
      <c r="AL112" s="776" t="str">
        <f t="shared" si="7"/>
        <v>10218</v>
      </c>
    </row>
    <row r="113" spans="1:38" ht="170.25" customHeight="1" x14ac:dyDescent="0.25">
      <c r="A113" s="778">
        <v>159</v>
      </c>
      <c r="B113" s="763" t="s">
        <v>1095</v>
      </c>
      <c r="C113" s="764" t="s">
        <v>1096</v>
      </c>
      <c r="D113" s="765">
        <f>+COUNTIF(C:C,C:C)</f>
        <v>1</v>
      </c>
      <c r="E113" s="766" t="s">
        <v>1287</v>
      </c>
      <c r="F113" s="766">
        <v>52798691</v>
      </c>
      <c r="G113" s="766" t="s">
        <v>1288</v>
      </c>
      <c r="H113" s="767">
        <v>43118</v>
      </c>
      <c r="I113" s="768" t="s">
        <v>1093</v>
      </c>
      <c r="J113" s="769" t="s">
        <v>61</v>
      </c>
      <c r="K113" s="769" t="s">
        <v>683</v>
      </c>
      <c r="L113" s="770" t="s">
        <v>1474</v>
      </c>
      <c r="M113" s="770">
        <v>35616000</v>
      </c>
      <c r="N113" s="771"/>
      <c r="O113" s="770">
        <f t="shared" si="9"/>
        <v>35616000</v>
      </c>
      <c r="P113" s="768" t="s">
        <v>1094</v>
      </c>
      <c r="Q113" s="769" t="s">
        <v>1585</v>
      </c>
      <c r="R113" s="769" t="s">
        <v>1291</v>
      </c>
      <c r="S113" s="769" t="s">
        <v>1440</v>
      </c>
      <c r="T113" s="769" t="s">
        <v>1586</v>
      </c>
      <c r="U113" s="769" t="s">
        <v>36</v>
      </c>
      <c r="V113" s="769" t="s">
        <v>36</v>
      </c>
      <c r="W113" s="769" t="s">
        <v>36</v>
      </c>
      <c r="X113" s="768" t="s">
        <v>692</v>
      </c>
      <c r="Y113" s="767">
        <v>43122</v>
      </c>
      <c r="Z113" s="767">
        <v>43364</v>
      </c>
      <c r="AA113" s="772">
        <f t="shared" si="5"/>
        <v>242</v>
      </c>
      <c r="AB113" s="768" t="s">
        <v>148</v>
      </c>
      <c r="AC113" s="767">
        <f t="shared" si="6"/>
        <v>43364</v>
      </c>
      <c r="AD113" s="769" t="s">
        <v>874</v>
      </c>
      <c r="AE113" s="773" t="s">
        <v>875</v>
      </c>
      <c r="AF113" s="773"/>
      <c r="AG113" s="779"/>
      <c r="AH113" s="769"/>
      <c r="AI113" s="769"/>
      <c r="AJ113" s="774">
        <f t="shared" ca="1" si="8"/>
        <v>15.702479338842975</v>
      </c>
      <c r="AK113" s="775"/>
      <c r="AL113" s="776" t="str">
        <f t="shared" si="7"/>
        <v>13018</v>
      </c>
    </row>
    <row r="114" spans="1:38" ht="170.25" customHeight="1" x14ac:dyDescent="0.25">
      <c r="A114" s="778">
        <v>177</v>
      </c>
      <c r="B114" s="763" t="s">
        <v>1155</v>
      </c>
      <c r="C114" s="764" t="s">
        <v>1156</v>
      </c>
      <c r="D114" s="765">
        <f>+COUNTIF(C:C,C:C)</f>
        <v>1</v>
      </c>
      <c r="E114" s="766" t="s">
        <v>1287</v>
      </c>
      <c r="F114" s="766">
        <v>52933289</v>
      </c>
      <c r="G114" s="766" t="s">
        <v>1288</v>
      </c>
      <c r="H114" s="767">
        <v>43118</v>
      </c>
      <c r="I114" s="768" t="s">
        <v>1154</v>
      </c>
      <c r="J114" s="769" t="s">
        <v>61</v>
      </c>
      <c r="K114" s="769" t="s">
        <v>683</v>
      </c>
      <c r="L114" s="770" t="s">
        <v>1502</v>
      </c>
      <c r="M114" s="770">
        <v>48000000</v>
      </c>
      <c r="N114" s="771"/>
      <c r="O114" s="770">
        <f t="shared" si="9"/>
        <v>48000000</v>
      </c>
      <c r="P114" s="768" t="s">
        <v>984</v>
      </c>
      <c r="Q114" s="769" t="s">
        <v>1587</v>
      </c>
      <c r="R114" s="769" t="s">
        <v>1305</v>
      </c>
      <c r="S114" s="769" t="s">
        <v>1440</v>
      </c>
      <c r="T114" s="769" t="s">
        <v>1588</v>
      </c>
      <c r="U114" s="769" t="s">
        <v>36</v>
      </c>
      <c r="V114" s="769" t="s">
        <v>36</v>
      </c>
      <c r="W114" s="769" t="s">
        <v>36</v>
      </c>
      <c r="X114" s="768" t="s">
        <v>692</v>
      </c>
      <c r="Y114" s="767">
        <v>43119</v>
      </c>
      <c r="Z114" s="767">
        <v>43361</v>
      </c>
      <c r="AA114" s="772">
        <f t="shared" si="5"/>
        <v>242</v>
      </c>
      <c r="AB114" s="768" t="s">
        <v>148</v>
      </c>
      <c r="AC114" s="767">
        <f t="shared" si="6"/>
        <v>43361</v>
      </c>
      <c r="AD114" s="769" t="s">
        <v>1079</v>
      </c>
      <c r="AE114" s="773" t="s">
        <v>816</v>
      </c>
      <c r="AF114" s="773"/>
      <c r="AG114" s="779"/>
      <c r="AH114" s="769"/>
      <c r="AI114" s="769"/>
      <c r="AJ114" s="774">
        <f t="shared" ca="1" si="8"/>
        <v>16.942148760330578</v>
      </c>
      <c r="AK114" s="775"/>
      <c r="AL114" s="776" t="str">
        <f t="shared" si="7"/>
        <v>14818</v>
      </c>
    </row>
    <row r="115" spans="1:38" ht="170.25" customHeight="1" x14ac:dyDescent="0.25">
      <c r="A115" s="778">
        <v>154</v>
      </c>
      <c r="B115" s="763" t="s">
        <v>1080</v>
      </c>
      <c r="C115" s="764" t="s">
        <v>1081</v>
      </c>
      <c r="D115" s="765">
        <f>+COUNTIF(C:C,C:C)</f>
        <v>1</v>
      </c>
      <c r="E115" s="766" t="s">
        <v>1287</v>
      </c>
      <c r="F115" s="766">
        <v>27080929</v>
      </c>
      <c r="G115" s="766" t="s">
        <v>1288</v>
      </c>
      <c r="H115" s="767">
        <v>43118</v>
      </c>
      <c r="I115" s="768" t="s">
        <v>1077</v>
      </c>
      <c r="J115" s="769" t="s">
        <v>61</v>
      </c>
      <c r="K115" s="769" t="s">
        <v>683</v>
      </c>
      <c r="L115" s="770" t="s">
        <v>1589</v>
      </c>
      <c r="M115" s="770">
        <v>61800000</v>
      </c>
      <c r="N115" s="771"/>
      <c r="O115" s="770">
        <f t="shared" si="9"/>
        <v>61800000</v>
      </c>
      <c r="P115" s="768" t="s">
        <v>1078</v>
      </c>
      <c r="Q115" s="769" t="s">
        <v>1590</v>
      </c>
      <c r="R115" s="769" t="s">
        <v>1291</v>
      </c>
      <c r="S115" s="769" t="s">
        <v>1440</v>
      </c>
      <c r="T115" s="769" t="s">
        <v>1591</v>
      </c>
      <c r="U115" s="769" t="s">
        <v>36</v>
      </c>
      <c r="V115" s="769" t="s">
        <v>36</v>
      </c>
      <c r="W115" s="769" t="s">
        <v>36</v>
      </c>
      <c r="X115" s="768" t="s">
        <v>858</v>
      </c>
      <c r="Y115" s="767">
        <v>43122</v>
      </c>
      <c r="Z115" s="767">
        <v>43272</v>
      </c>
      <c r="AA115" s="772">
        <f t="shared" si="5"/>
        <v>150</v>
      </c>
      <c r="AB115" s="768" t="s">
        <v>148</v>
      </c>
      <c r="AC115" s="767">
        <f t="shared" si="6"/>
        <v>43272</v>
      </c>
      <c r="AD115" s="769" t="s">
        <v>1079</v>
      </c>
      <c r="AE115" s="773" t="s">
        <v>816</v>
      </c>
      <c r="AF115" s="773"/>
      <c r="AG115" s="779"/>
      <c r="AH115" s="769"/>
      <c r="AI115" s="769"/>
      <c r="AJ115" s="774">
        <f t="shared" ca="1" si="8"/>
        <v>25.333333333333336</v>
      </c>
      <c r="AK115" s="775"/>
      <c r="AL115" s="776" t="str">
        <f t="shared" si="7"/>
        <v>12518</v>
      </c>
    </row>
    <row r="116" spans="1:38" ht="170.25" customHeight="1" x14ac:dyDescent="0.25">
      <c r="A116" s="778">
        <v>155</v>
      </c>
      <c r="B116" s="763" t="s">
        <v>1082</v>
      </c>
      <c r="C116" s="764" t="s">
        <v>1083</v>
      </c>
      <c r="D116" s="765">
        <f>+COUNTIF(C:C,C:C)</f>
        <v>1</v>
      </c>
      <c r="E116" s="766" t="s">
        <v>1287</v>
      </c>
      <c r="F116" s="766">
        <v>52532296</v>
      </c>
      <c r="G116" s="766" t="s">
        <v>1288</v>
      </c>
      <c r="H116" s="767">
        <v>43118</v>
      </c>
      <c r="I116" s="768" t="s">
        <v>1077</v>
      </c>
      <c r="J116" s="769" t="s">
        <v>61</v>
      </c>
      <c r="K116" s="769" t="s">
        <v>683</v>
      </c>
      <c r="L116" s="770" t="s">
        <v>1589</v>
      </c>
      <c r="M116" s="770">
        <v>61800000</v>
      </c>
      <c r="N116" s="771"/>
      <c r="O116" s="770">
        <f t="shared" si="9"/>
        <v>61800000</v>
      </c>
      <c r="P116" s="768" t="s">
        <v>1078</v>
      </c>
      <c r="Q116" s="769" t="s">
        <v>1592</v>
      </c>
      <c r="R116" s="769" t="s">
        <v>1291</v>
      </c>
      <c r="S116" s="769" t="s">
        <v>1440</v>
      </c>
      <c r="T116" s="769" t="s">
        <v>1593</v>
      </c>
      <c r="U116" s="769" t="s">
        <v>36</v>
      </c>
      <c r="V116" s="769" t="s">
        <v>36</v>
      </c>
      <c r="W116" s="769" t="s">
        <v>36</v>
      </c>
      <c r="X116" s="768" t="s">
        <v>858</v>
      </c>
      <c r="Y116" s="767">
        <v>43122</v>
      </c>
      <c r="Z116" s="767">
        <v>43272</v>
      </c>
      <c r="AA116" s="772">
        <f t="shared" si="5"/>
        <v>150</v>
      </c>
      <c r="AB116" s="768" t="s">
        <v>148</v>
      </c>
      <c r="AC116" s="767">
        <f t="shared" si="6"/>
        <v>43272</v>
      </c>
      <c r="AD116" s="769" t="s">
        <v>1079</v>
      </c>
      <c r="AE116" s="773" t="s">
        <v>816</v>
      </c>
      <c r="AF116" s="773"/>
      <c r="AG116" s="779"/>
      <c r="AH116" s="769"/>
      <c r="AI116" s="769"/>
      <c r="AJ116" s="774">
        <f t="shared" ca="1" si="8"/>
        <v>25.333333333333336</v>
      </c>
      <c r="AK116" s="775"/>
      <c r="AL116" s="776" t="str">
        <f t="shared" si="7"/>
        <v>12618</v>
      </c>
    </row>
    <row r="117" spans="1:38" ht="170.25" customHeight="1" x14ac:dyDescent="0.25">
      <c r="A117" s="778">
        <v>156</v>
      </c>
      <c r="B117" s="763" t="s">
        <v>1084</v>
      </c>
      <c r="C117" s="764" t="s">
        <v>1085</v>
      </c>
      <c r="D117" s="765">
        <f>+COUNTIF(C:C,C:C)</f>
        <v>1</v>
      </c>
      <c r="E117" s="766" t="s">
        <v>1287</v>
      </c>
      <c r="F117" s="766">
        <v>39544007</v>
      </c>
      <c r="G117" s="766" t="s">
        <v>1288</v>
      </c>
      <c r="H117" s="767">
        <v>43118</v>
      </c>
      <c r="I117" s="768" t="s">
        <v>1077</v>
      </c>
      <c r="J117" s="769" t="s">
        <v>61</v>
      </c>
      <c r="K117" s="769" t="s">
        <v>683</v>
      </c>
      <c r="L117" s="770" t="s">
        <v>1589</v>
      </c>
      <c r="M117" s="770">
        <v>61800000</v>
      </c>
      <c r="N117" s="771"/>
      <c r="O117" s="770">
        <f t="shared" si="9"/>
        <v>61800000</v>
      </c>
      <c r="P117" s="768" t="s">
        <v>1078</v>
      </c>
      <c r="Q117" s="769" t="s">
        <v>1594</v>
      </c>
      <c r="R117" s="769" t="s">
        <v>1291</v>
      </c>
      <c r="S117" s="769" t="s">
        <v>1440</v>
      </c>
      <c r="T117" s="769" t="s">
        <v>1595</v>
      </c>
      <c r="U117" s="769" t="s">
        <v>36</v>
      </c>
      <c r="V117" s="769" t="s">
        <v>36</v>
      </c>
      <c r="W117" s="769" t="s">
        <v>36</v>
      </c>
      <c r="X117" s="768" t="s">
        <v>858</v>
      </c>
      <c r="Y117" s="767">
        <v>43122</v>
      </c>
      <c r="Z117" s="767">
        <v>43272</v>
      </c>
      <c r="AA117" s="772">
        <f t="shared" si="5"/>
        <v>150</v>
      </c>
      <c r="AB117" s="768" t="s">
        <v>148</v>
      </c>
      <c r="AC117" s="767">
        <f t="shared" si="6"/>
        <v>43272</v>
      </c>
      <c r="AD117" s="769" t="s">
        <v>1079</v>
      </c>
      <c r="AE117" s="773" t="s">
        <v>816</v>
      </c>
      <c r="AF117" s="773"/>
      <c r="AG117" s="779"/>
      <c r="AH117" s="769"/>
      <c r="AI117" s="769"/>
      <c r="AJ117" s="774">
        <f t="shared" ca="1" si="8"/>
        <v>25.333333333333336</v>
      </c>
      <c r="AK117" s="775"/>
      <c r="AL117" s="776" t="str">
        <f t="shared" si="7"/>
        <v>12718</v>
      </c>
    </row>
    <row r="118" spans="1:38" ht="170.25" customHeight="1" x14ac:dyDescent="0.25">
      <c r="A118" s="778">
        <v>175</v>
      </c>
      <c r="B118" s="763" t="s">
        <v>1149</v>
      </c>
      <c r="C118" s="764" t="s">
        <v>1150</v>
      </c>
      <c r="D118" s="765">
        <f>+COUNTIF(C:C,C:C)</f>
        <v>1</v>
      </c>
      <c r="E118" s="766" t="s">
        <v>1287</v>
      </c>
      <c r="F118" s="766">
        <v>52818428</v>
      </c>
      <c r="G118" s="766" t="s">
        <v>1288</v>
      </c>
      <c r="H118" s="767">
        <v>43118</v>
      </c>
      <c r="I118" s="768" t="s">
        <v>1151</v>
      </c>
      <c r="J118" s="769" t="s">
        <v>61</v>
      </c>
      <c r="K118" s="769" t="s">
        <v>683</v>
      </c>
      <c r="L118" s="770" t="s">
        <v>1380</v>
      </c>
      <c r="M118" s="770">
        <v>45000000</v>
      </c>
      <c r="N118" s="771"/>
      <c r="O118" s="770">
        <f t="shared" si="9"/>
        <v>45000000</v>
      </c>
      <c r="P118" s="768" t="s">
        <v>824</v>
      </c>
      <c r="Q118" s="769" t="s">
        <v>1596</v>
      </c>
      <c r="R118" s="769" t="s">
        <v>1291</v>
      </c>
      <c r="S118" s="769" t="s">
        <v>1440</v>
      </c>
      <c r="T118" s="769" t="s">
        <v>1597</v>
      </c>
      <c r="U118" s="769" t="s">
        <v>36</v>
      </c>
      <c r="V118" s="769" t="s">
        <v>36</v>
      </c>
      <c r="W118" s="769" t="s">
        <v>36</v>
      </c>
      <c r="X118" s="768" t="s">
        <v>858</v>
      </c>
      <c r="Y118" s="767">
        <v>43122</v>
      </c>
      <c r="Z118" s="767">
        <v>43272</v>
      </c>
      <c r="AA118" s="772">
        <f t="shared" si="5"/>
        <v>150</v>
      </c>
      <c r="AB118" s="768" t="s">
        <v>148</v>
      </c>
      <c r="AC118" s="767">
        <f t="shared" si="6"/>
        <v>43272</v>
      </c>
      <c r="AD118" s="769" t="s">
        <v>1079</v>
      </c>
      <c r="AE118" s="773" t="s">
        <v>816</v>
      </c>
      <c r="AF118" s="773"/>
      <c r="AG118" s="779"/>
      <c r="AH118" s="769"/>
      <c r="AI118" s="769"/>
      <c r="AJ118" s="774">
        <f t="shared" ca="1" si="8"/>
        <v>25.333333333333336</v>
      </c>
      <c r="AK118" s="775"/>
      <c r="AL118" s="776" t="str">
        <f t="shared" si="7"/>
        <v>14618</v>
      </c>
    </row>
    <row r="119" spans="1:38" ht="170.25" customHeight="1" x14ac:dyDescent="0.25">
      <c r="A119" s="778">
        <v>153</v>
      </c>
      <c r="B119" s="763" t="s">
        <v>1075</v>
      </c>
      <c r="C119" s="764" t="s">
        <v>1076</v>
      </c>
      <c r="D119" s="765">
        <f>+COUNTIF(C:C,C:C)</f>
        <v>1</v>
      </c>
      <c r="E119" s="766" t="s">
        <v>1287</v>
      </c>
      <c r="F119" s="766">
        <v>52023758</v>
      </c>
      <c r="G119" s="766" t="s">
        <v>1288</v>
      </c>
      <c r="H119" s="767">
        <v>43118</v>
      </c>
      <c r="I119" s="768" t="s">
        <v>1077</v>
      </c>
      <c r="J119" s="769" t="s">
        <v>61</v>
      </c>
      <c r="K119" s="769" t="s">
        <v>683</v>
      </c>
      <c r="L119" s="770" t="s">
        <v>1589</v>
      </c>
      <c r="M119" s="770">
        <v>61800000</v>
      </c>
      <c r="N119" s="771"/>
      <c r="O119" s="770">
        <f t="shared" si="9"/>
        <v>61800000</v>
      </c>
      <c r="P119" s="768" t="s">
        <v>1078</v>
      </c>
      <c r="Q119" s="769" t="s">
        <v>1598</v>
      </c>
      <c r="R119" s="769" t="s">
        <v>1291</v>
      </c>
      <c r="S119" s="769" t="s">
        <v>1440</v>
      </c>
      <c r="T119" s="769" t="s">
        <v>1599</v>
      </c>
      <c r="U119" s="769" t="s">
        <v>36</v>
      </c>
      <c r="V119" s="769" t="s">
        <v>36</v>
      </c>
      <c r="W119" s="769" t="s">
        <v>36</v>
      </c>
      <c r="X119" s="768" t="s">
        <v>858</v>
      </c>
      <c r="Y119" s="767">
        <v>43122</v>
      </c>
      <c r="Z119" s="767">
        <v>43272</v>
      </c>
      <c r="AA119" s="772">
        <f t="shared" si="5"/>
        <v>150</v>
      </c>
      <c r="AB119" s="768" t="s">
        <v>148</v>
      </c>
      <c r="AC119" s="767">
        <f t="shared" si="6"/>
        <v>43272</v>
      </c>
      <c r="AD119" s="769" t="s">
        <v>1079</v>
      </c>
      <c r="AE119" s="773" t="s">
        <v>816</v>
      </c>
      <c r="AF119" s="773"/>
      <c r="AG119" s="779"/>
      <c r="AH119" s="769"/>
      <c r="AI119" s="769"/>
      <c r="AJ119" s="774">
        <f t="shared" ca="1" si="8"/>
        <v>25.333333333333336</v>
      </c>
      <c r="AK119" s="775"/>
      <c r="AL119" s="776" t="str">
        <f t="shared" si="7"/>
        <v>12418</v>
      </c>
    </row>
    <row r="120" spans="1:38" ht="170.25" customHeight="1" x14ac:dyDescent="0.25">
      <c r="A120" s="778">
        <v>124</v>
      </c>
      <c r="B120" s="763" t="s">
        <v>959</v>
      </c>
      <c r="C120" s="764" t="s">
        <v>960</v>
      </c>
      <c r="D120" s="765">
        <f>+COUNTIF(C:C,C:C)</f>
        <v>1</v>
      </c>
      <c r="E120" s="766" t="s">
        <v>1287</v>
      </c>
      <c r="F120" s="766">
        <v>71751994</v>
      </c>
      <c r="G120" s="766" t="s">
        <v>1288</v>
      </c>
      <c r="H120" s="767">
        <v>43118</v>
      </c>
      <c r="I120" s="768" t="s">
        <v>961</v>
      </c>
      <c r="J120" s="769" t="s">
        <v>61</v>
      </c>
      <c r="K120" s="769" t="s">
        <v>683</v>
      </c>
      <c r="L120" s="770" t="s">
        <v>1523</v>
      </c>
      <c r="M120" s="770">
        <v>15000000</v>
      </c>
      <c r="N120" s="771"/>
      <c r="O120" s="770">
        <f t="shared" si="9"/>
        <v>15000000</v>
      </c>
      <c r="P120" s="768" t="s">
        <v>962</v>
      </c>
      <c r="Q120" s="769" t="s">
        <v>1600</v>
      </c>
      <c r="R120" s="769" t="s">
        <v>1291</v>
      </c>
      <c r="S120" s="769" t="s">
        <v>1440</v>
      </c>
      <c r="T120" s="769" t="s">
        <v>1601</v>
      </c>
      <c r="U120" s="769" t="s">
        <v>36</v>
      </c>
      <c r="V120" s="769" t="s">
        <v>36</v>
      </c>
      <c r="W120" s="769" t="s">
        <v>36</v>
      </c>
      <c r="X120" s="768" t="s">
        <v>963</v>
      </c>
      <c r="Y120" s="767">
        <v>43119</v>
      </c>
      <c r="Z120" s="767">
        <v>43179</v>
      </c>
      <c r="AA120" s="772">
        <f t="shared" si="5"/>
        <v>60</v>
      </c>
      <c r="AB120" s="768" t="s">
        <v>148</v>
      </c>
      <c r="AC120" s="767">
        <f t="shared" si="6"/>
        <v>43179</v>
      </c>
      <c r="AD120" s="769" t="s">
        <v>839</v>
      </c>
      <c r="AE120" s="773" t="s">
        <v>840</v>
      </c>
      <c r="AF120" s="773"/>
      <c r="AG120" s="779"/>
      <c r="AH120" s="769"/>
      <c r="AI120" s="769"/>
      <c r="AJ120" s="774">
        <f t="shared" ca="1" si="8"/>
        <v>68.333333333333329</v>
      </c>
      <c r="AK120" s="775"/>
      <c r="AL120" s="776" t="str">
        <f t="shared" si="7"/>
        <v xml:space="preserve">9618 </v>
      </c>
    </row>
    <row r="121" spans="1:38" ht="189" customHeight="1" x14ac:dyDescent="0.25">
      <c r="A121" s="778">
        <v>148</v>
      </c>
      <c r="B121" s="763" t="s">
        <v>1055</v>
      </c>
      <c r="C121" s="764" t="s">
        <v>1056</v>
      </c>
      <c r="D121" s="765">
        <f>+COUNTIF(C:C,C:C)</f>
        <v>1</v>
      </c>
      <c r="E121" s="766" t="s">
        <v>1287</v>
      </c>
      <c r="F121" s="766">
        <v>52179299</v>
      </c>
      <c r="G121" s="766" t="s">
        <v>1288</v>
      </c>
      <c r="H121" s="767">
        <v>43118</v>
      </c>
      <c r="I121" s="768" t="s">
        <v>1057</v>
      </c>
      <c r="J121" s="769" t="s">
        <v>61</v>
      </c>
      <c r="K121" s="769" t="s">
        <v>683</v>
      </c>
      <c r="L121" s="770" t="s">
        <v>1602</v>
      </c>
      <c r="M121" s="770">
        <v>44000000</v>
      </c>
      <c r="N121" s="771"/>
      <c r="O121" s="770">
        <f t="shared" si="9"/>
        <v>44000000</v>
      </c>
      <c r="P121" s="768" t="s">
        <v>1053</v>
      </c>
      <c r="Q121" s="769" t="s">
        <v>1603</v>
      </c>
      <c r="R121" s="769" t="s">
        <v>1291</v>
      </c>
      <c r="S121" s="769" t="s">
        <v>1440</v>
      </c>
      <c r="T121" s="769" t="s">
        <v>1604</v>
      </c>
      <c r="U121" s="769" t="s">
        <v>36</v>
      </c>
      <c r="V121" s="769" t="s">
        <v>36</v>
      </c>
      <c r="W121" s="769" t="s">
        <v>36</v>
      </c>
      <c r="X121" s="768" t="s">
        <v>692</v>
      </c>
      <c r="Y121" s="767">
        <v>43122</v>
      </c>
      <c r="Z121" s="767">
        <v>43364</v>
      </c>
      <c r="AA121" s="772">
        <f t="shared" si="5"/>
        <v>242</v>
      </c>
      <c r="AB121" s="768" t="s">
        <v>148</v>
      </c>
      <c r="AC121" s="767">
        <f t="shared" si="6"/>
        <v>43364</v>
      </c>
      <c r="AD121" s="769" t="s">
        <v>1054</v>
      </c>
      <c r="AE121" s="773" t="s">
        <v>849</v>
      </c>
      <c r="AF121" s="773"/>
      <c r="AG121" s="779"/>
      <c r="AH121" s="769"/>
      <c r="AI121" s="769"/>
      <c r="AJ121" s="774">
        <f t="shared" ca="1" si="8"/>
        <v>15.702479338842975</v>
      </c>
      <c r="AK121" s="775"/>
      <c r="AL121" s="776" t="str">
        <f t="shared" si="7"/>
        <v>11918</v>
      </c>
    </row>
    <row r="122" spans="1:38" ht="170.25" customHeight="1" x14ac:dyDescent="0.25">
      <c r="A122" s="778">
        <v>161</v>
      </c>
      <c r="B122" s="763" t="s">
        <v>1101</v>
      </c>
      <c r="C122" s="764" t="s">
        <v>1102</v>
      </c>
      <c r="D122" s="765">
        <f>+COUNTIF(C:C,C:C)</f>
        <v>1</v>
      </c>
      <c r="E122" s="766" t="s">
        <v>1287</v>
      </c>
      <c r="F122" s="766">
        <v>1045698830</v>
      </c>
      <c r="G122" s="766" t="s">
        <v>1299</v>
      </c>
      <c r="H122" s="767">
        <v>43119</v>
      </c>
      <c r="I122" s="768" t="s">
        <v>1103</v>
      </c>
      <c r="J122" s="769" t="s">
        <v>61</v>
      </c>
      <c r="K122" s="769" t="s">
        <v>683</v>
      </c>
      <c r="L122" s="770" t="s">
        <v>1474</v>
      </c>
      <c r="M122" s="770">
        <v>35616000</v>
      </c>
      <c r="N122" s="771"/>
      <c r="O122" s="770">
        <f t="shared" si="9"/>
        <v>35616000</v>
      </c>
      <c r="P122" s="768" t="s">
        <v>1094</v>
      </c>
      <c r="Q122" s="769" t="s">
        <v>1605</v>
      </c>
      <c r="R122" s="769" t="s">
        <v>1291</v>
      </c>
      <c r="S122" s="769" t="s">
        <v>1440</v>
      </c>
      <c r="T122" s="769" t="s">
        <v>1606</v>
      </c>
      <c r="U122" s="769" t="s">
        <v>36</v>
      </c>
      <c r="V122" s="769" t="s">
        <v>36</v>
      </c>
      <c r="W122" s="769" t="s">
        <v>36</v>
      </c>
      <c r="X122" s="768" t="s">
        <v>692</v>
      </c>
      <c r="Y122" s="767">
        <v>43122</v>
      </c>
      <c r="Z122" s="767">
        <v>43364</v>
      </c>
      <c r="AA122" s="772">
        <f t="shared" si="5"/>
        <v>242</v>
      </c>
      <c r="AB122" s="768" t="s">
        <v>148</v>
      </c>
      <c r="AC122" s="767">
        <f t="shared" si="6"/>
        <v>43364</v>
      </c>
      <c r="AD122" s="769" t="s">
        <v>1100</v>
      </c>
      <c r="AE122" s="773" t="s">
        <v>875</v>
      </c>
      <c r="AF122" s="773"/>
      <c r="AG122" s="779"/>
      <c r="AH122" s="769"/>
      <c r="AI122" s="769"/>
      <c r="AJ122" s="774">
        <f t="shared" ca="1" si="8"/>
        <v>15.702479338842975</v>
      </c>
      <c r="AK122" s="775"/>
      <c r="AL122" s="776" t="str">
        <f t="shared" si="7"/>
        <v>13218</v>
      </c>
    </row>
    <row r="123" spans="1:38" ht="170.25" customHeight="1" x14ac:dyDescent="0.25">
      <c r="A123" s="778">
        <v>147</v>
      </c>
      <c r="B123" s="763" t="s">
        <v>1050</v>
      </c>
      <c r="C123" s="764" t="s">
        <v>1051</v>
      </c>
      <c r="D123" s="765">
        <f>+COUNTIF(C:C,C:C)</f>
        <v>1</v>
      </c>
      <c r="E123" s="766" t="s">
        <v>1287</v>
      </c>
      <c r="F123" s="766">
        <v>7560306</v>
      </c>
      <c r="G123" s="766" t="s">
        <v>1299</v>
      </c>
      <c r="H123" s="767">
        <v>43119</v>
      </c>
      <c r="I123" s="768" t="s">
        <v>1052</v>
      </c>
      <c r="J123" s="769" t="s">
        <v>61</v>
      </c>
      <c r="K123" s="769" t="s">
        <v>683</v>
      </c>
      <c r="L123" s="770" t="s">
        <v>1602</v>
      </c>
      <c r="M123" s="770">
        <v>44000000</v>
      </c>
      <c r="N123" s="771"/>
      <c r="O123" s="770">
        <f t="shared" si="9"/>
        <v>44000000</v>
      </c>
      <c r="P123" s="768" t="s">
        <v>1053</v>
      </c>
      <c r="Q123" s="769" t="s">
        <v>1607</v>
      </c>
      <c r="R123" s="769" t="s">
        <v>1291</v>
      </c>
      <c r="S123" s="769" t="s">
        <v>1440</v>
      </c>
      <c r="T123" s="769" t="s">
        <v>1608</v>
      </c>
      <c r="U123" s="769" t="s">
        <v>36</v>
      </c>
      <c r="V123" s="769" t="s">
        <v>36</v>
      </c>
      <c r="W123" s="769" t="s">
        <v>36</v>
      </c>
      <c r="X123" s="768" t="s">
        <v>692</v>
      </c>
      <c r="Y123" s="767">
        <v>43122</v>
      </c>
      <c r="Z123" s="767">
        <v>43364</v>
      </c>
      <c r="AA123" s="772">
        <f t="shared" si="5"/>
        <v>242</v>
      </c>
      <c r="AB123" s="768" t="s">
        <v>148</v>
      </c>
      <c r="AC123" s="767">
        <f t="shared" si="6"/>
        <v>43364</v>
      </c>
      <c r="AD123" s="769" t="s">
        <v>1054</v>
      </c>
      <c r="AE123" s="773" t="s">
        <v>849</v>
      </c>
      <c r="AF123" s="773"/>
      <c r="AG123" s="779"/>
      <c r="AH123" s="769"/>
      <c r="AI123" s="769"/>
      <c r="AJ123" s="774">
        <f t="shared" ca="1" si="8"/>
        <v>15.702479338842975</v>
      </c>
      <c r="AK123" s="775"/>
      <c r="AL123" s="776" t="str">
        <f t="shared" si="7"/>
        <v>11818</v>
      </c>
    </row>
    <row r="124" spans="1:38" ht="170.25" customHeight="1" x14ac:dyDescent="0.25">
      <c r="A124" s="778">
        <v>142</v>
      </c>
      <c r="B124" s="763" t="s">
        <v>1029</v>
      </c>
      <c r="C124" s="764" t="s">
        <v>1030</v>
      </c>
      <c r="D124" s="765">
        <f>+COUNTIF(C:C,C:C)</f>
        <v>1</v>
      </c>
      <c r="E124" s="766" t="s">
        <v>1287</v>
      </c>
      <c r="F124" s="766">
        <v>70015065</v>
      </c>
      <c r="G124" s="766" t="s">
        <v>1299</v>
      </c>
      <c r="H124" s="767">
        <v>43119</v>
      </c>
      <c r="I124" s="768" t="s">
        <v>1031</v>
      </c>
      <c r="J124" s="769" t="s">
        <v>61</v>
      </c>
      <c r="K124" s="769" t="s">
        <v>683</v>
      </c>
      <c r="L124" s="770" t="s">
        <v>1573</v>
      </c>
      <c r="M124" s="770">
        <v>40000000</v>
      </c>
      <c r="N124" s="771"/>
      <c r="O124" s="770">
        <f t="shared" si="9"/>
        <v>40000000</v>
      </c>
      <c r="P124" s="768" t="s">
        <v>1032</v>
      </c>
      <c r="Q124" s="769" t="s">
        <v>1609</v>
      </c>
      <c r="R124" s="769" t="s">
        <v>1291</v>
      </c>
      <c r="S124" s="769" t="s">
        <v>1440</v>
      </c>
      <c r="T124" s="769" t="s">
        <v>1610</v>
      </c>
      <c r="U124" s="769" t="s">
        <v>36</v>
      </c>
      <c r="V124" s="769" t="s">
        <v>36</v>
      </c>
      <c r="W124" s="769" t="s">
        <v>36</v>
      </c>
      <c r="X124" s="768" t="s">
        <v>692</v>
      </c>
      <c r="Y124" s="767">
        <v>43123</v>
      </c>
      <c r="Z124" s="767">
        <v>43365</v>
      </c>
      <c r="AA124" s="772">
        <f t="shared" si="5"/>
        <v>242</v>
      </c>
      <c r="AB124" s="768" t="s">
        <v>148</v>
      </c>
      <c r="AC124" s="767">
        <f t="shared" si="6"/>
        <v>43365</v>
      </c>
      <c r="AD124" s="769" t="s">
        <v>1033</v>
      </c>
      <c r="AE124" s="773" t="s">
        <v>834</v>
      </c>
      <c r="AF124" s="773"/>
      <c r="AG124" s="779"/>
      <c r="AH124" s="769"/>
      <c r="AI124" s="769"/>
      <c r="AJ124" s="774">
        <f t="shared" ca="1" si="8"/>
        <v>15.289256198347106</v>
      </c>
      <c r="AK124" s="775"/>
      <c r="AL124" s="776" t="str">
        <f t="shared" si="7"/>
        <v>11418</v>
      </c>
    </row>
    <row r="125" spans="1:38" ht="170.25" customHeight="1" x14ac:dyDescent="0.25">
      <c r="A125" s="778">
        <v>101</v>
      </c>
      <c r="B125" s="763" t="s">
        <v>876</v>
      </c>
      <c r="C125" s="764" t="s">
        <v>877</v>
      </c>
      <c r="D125" s="765">
        <f>+COUNTIF(C:C,C:C)</f>
        <v>1</v>
      </c>
      <c r="E125" s="766" t="s">
        <v>1287</v>
      </c>
      <c r="F125" s="766">
        <v>53107663</v>
      </c>
      <c r="G125" s="766" t="s">
        <v>1288</v>
      </c>
      <c r="H125" s="767">
        <v>43119</v>
      </c>
      <c r="I125" s="768" t="s">
        <v>878</v>
      </c>
      <c r="J125" s="769" t="s">
        <v>61</v>
      </c>
      <c r="K125" s="769" t="s">
        <v>683</v>
      </c>
      <c r="L125" s="770" t="s">
        <v>1611</v>
      </c>
      <c r="M125" s="770">
        <v>12920000</v>
      </c>
      <c r="N125" s="771"/>
      <c r="O125" s="770">
        <f t="shared" si="9"/>
        <v>12920000</v>
      </c>
      <c r="P125" s="768" t="s">
        <v>879</v>
      </c>
      <c r="Q125" s="769" t="s">
        <v>1612</v>
      </c>
      <c r="R125" s="769" t="s">
        <v>1291</v>
      </c>
      <c r="S125" s="769" t="s">
        <v>88</v>
      </c>
      <c r="T125" s="769" t="s">
        <v>1613</v>
      </c>
      <c r="U125" s="769" t="s">
        <v>36</v>
      </c>
      <c r="V125" s="769" t="s">
        <v>36</v>
      </c>
      <c r="W125" s="769" t="s">
        <v>36</v>
      </c>
      <c r="X125" s="768" t="s">
        <v>858</v>
      </c>
      <c r="Y125" s="767">
        <v>43122</v>
      </c>
      <c r="Z125" s="767">
        <v>43272</v>
      </c>
      <c r="AA125" s="772">
        <f t="shared" si="5"/>
        <v>150</v>
      </c>
      <c r="AB125" s="768" t="s">
        <v>148</v>
      </c>
      <c r="AC125" s="767">
        <f t="shared" si="6"/>
        <v>43272</v>
      </c>
      <c r="AD125" s="769" t="s">
        <v>874</v>
      </c>
      <c r="AE125" s="773" t="s">
        <v>875</v>
      </c>
      <c r="AF125" s="773"/>
      <c r="AG125" s="779"/>
      <c r="AH125" s="769"/>
      <c r="AI125" s="769"/>
      <c r="AJ125" s="774">
        <f t="shared" ca="1" si="8"/>
        <v>25.333333333333336</v>
      </c>
      <c r="AK125" s="775"/>
      <c r="AL125" s="776" t="str">
        <f t="shared" si="7"/>
        <v xml:space="preserve">6118 </v>
      </c>
    </row>
    <row r="126" spans="1:38" ht="170.25" customHeight="1" x14ac:dyDescent="0.25">
      <c r="A126" s="778">
        <v>134</v>
      </c>
      <c r="B126" s="763" t="s">
        <v>1002</v>
      </c>
      <c r="C126" s="764" t="s">
        <v>1003</v>
      </c>
      <c r="D126" s="765">
        <f>+COUNTIF(C:C,C:C)</f>
        <v>1</v>
      </c>
      <c r="E126" s="766" t="s">
        <v>1287</v>
      </c>
      <c r="F126" s="766">
        <v>9149201</v>
      </c>
      <c r="G126" s="766" t="s">
        <v>1299</v>
      </c>
      <c r="H126" s="767">
        <v>43122</v>
      </c>
      <c r="I126" s="768" t="s">
        <v>1004</v>
      </c>
      <c r="J126" s="769" t="s">
        <v>61</v>
      </c>
      <c r="K126" s="769" t="s">
        <v>683</v>
      </c>
      <c r="L126" s="770" t="s">
        <v>1502</v>
      </c>
      <c r="M126" s="770">
        <v>48000000</v>
      </c>
      <c r="N126" s="771"/>
      <c r="O126" s="770">
        <f t="shared" si="9"/>
        <v>48000000</v>
      </c>
      <c r="P126" s="768" t="s">
        <v>1005</v>
      </c>
      <c r="Q126" s="769" t="s">
        <v>1614</v>
      </c>
      <c r="R126" s="769" t="s">
        <v>1291</v>
      </c>
      <c r="S126" s="769" t="s">
        <v>1440</v>
      </c>
      <c r="T126" s="769" t="s">
        <v>1615</v>
      </c>
      <c r="U126" s="769" t="s">
        <v>36</v>
      </c>
      <c r="V126" s="769" t="s">
        <v>36</v>
      </c>
      <c r="W126" s="769" t="s">
        <v>36</v>
      </c>
      <c r="X126" s="768" t="s">
        <v>692</v>
      </c>
      <c r="Y126" s="767">
        <v>43126</v>
      </c>
      <c r="Z126" s="767">
        <v>43368</v>
      </c>
      <c r="AA126" s="772">
        <f t="shared" si="5"/>
        <v>242</v>
      </c>
      <c r="AB126" s="768" t="s">
        <v>148</v>
      </c>
      <c r="AC126" s="767">
        <f t="shared" si="6"/>
        <v>43368</v>
      </c>
      <c r="AD126" s="769" t="s">
        <v>888</v>
      </c>
      <c r="AE126" s="773" t="s">
        <v>540</v>
      </c>
      <c r="AF126" s="773"/>
      <c r="AG126" s="779"/>
      <c r="AH126" s="769"/>
      <c r="AI126" s="769"/>
      <c r="AJ126" s="774">
        <f t="shared" ca="1" si="8"/>
        <v>14.049586776859504</v>
      </c>
      <c r="AK126" s="775"/>
      <c r="AL126" s="776" t="str">
        <f t="shared" si="7"/>
        <v>10618</v>
      </c>
    </row>
    <row r="127" spans="1:38" ht="170.25" customHeight="1" x14ac:dyDescent="0.25">
      <c r="A127" s="778">
        <v>172</v>
      </c>
      <c r="B127" s="763" t="s">
        <v>1140</v>
      </c>
      <c r="C127" s="764" t="s">
        <v>1141</v>
      </c>
      <c r="D127" s="765">
        <f>+COUNTIF(C:C,C:C)</f>
        <v>1</v>
      </c>
      <c r="E127" s="766" t="s">
        <v>1287</v>
      </c>
      <c r="F127" s="766">
        <v>13824476</v>
      </c>
      <c r="G127" s="766" t="s">
        <v>1288</v>
      </c>
      <c r="H127" s="767">
        <v>43122</v>
      </c>
      <c r="I127" s="768" t="s">
        <v>1134</v>
      </c>
      <c r="J127" s="769" t="s">
        <v>61</v>
      </c>
      <c r="K127" s="769" t="s">
        <v>683</v>
      </c>
      <c r="L127" s="770" t="s">
        <v>1491</v>
      </c>
      <c r="M127" s="770">
        <v>72000000</v>
      </c>
      <c r="N127" s="771"/>
      <c r="O127" s="770">
        <f t="shared" si="9"/>
        <v>72000000</v>
      </c>
      <c r="P127" s="768" t="s">
        <v>1142</v>
      </c>
      <c r="Q127" s="769" t="s">
        <v>1616</v>
      </c>
      <c r="R127" s="769" t="s">
        <v>1305</v>
      </c>
      <c r="S127" s="769" t="s">
        <v>1440</v>
      </c>
      <c r="T127" s="769" t="s">
        <v>1617</v>
      </c>
      <c r="U127" s="769" t="s">
        <v>36</v>
      </c>
      <c r="V127" s="769" t="s">
        <v>36</v>
      </c>
      <c r="W127" s="769" t="s">
        <v>36</v>
      </c>
      <c r="X127" s="768" t="s">
        <v>692</v>
      </c>
      <c r="Y127" s="767">
        <v>43124</v>
      </c>
      <c r="Z127" s="767">
        <v>43366</v>
      </c>
      <c r="AA127" s="772">
        <f t="shared" si="5"/>
        <v>242</v>
      </c>
      <c r="AB127" s="768" t="s">
        <v>148</v>
      </c>
      <c r="AC127" s="767">
        <f t="shared" si="6"/>
        <v>43366</v>
      </c>
      <c r="AD127" s="769" t="s">
        <v>1079</v>
      </c>
      <c r="AE127" s="773" t="s">
        <v>816</v>
      </c>
      <c r="AF127" s="773"/>
      <c r="AG127" s="779"/>
      <c r="AH127" s="769"/>
      <c r="AI127" s="769"/>
      <c r="AJ127" s="774">
        <f t="shared" ca="1" si="8"/>
        <v>14.87603305785124</v>
      </c>
      <c r="AK127" s="775"/>
      <c r="AL127" s="776" t="str">
        <f t="shared" si="7"/>
        <v>14318</v>
      </c>
    </row>
    <row r="128" spans="1:38" ht="170.25" customHeight="1" x14ac:dyDescent="0.25">
      <c r="A128" s="778">
        <v>167</v>
      </c>
      <c r="B128" s="763" t="s">
        <v>1123</v>
      </c>
      <c r="C128" s="764" t="s">
        <v>1124</v>
      </c>
      <c r="D128" s="765">
        <f>+COUNTIF(C:C,C:C)</f>
        <v>1</v>
      </c>
      <c r="E128" s="766" t="s">
        <v>1287</v>
      </c>
      <c r="F128" s="766">
        <v>71875281</v>
      </c>
      <c r="G128" s="766" t="s">
        <v>1299</v>
      </c>
      <c r="H128" s="767">
        <v>43122</v>
      </c>
      <c r="I128" s="768" t="s">
        <v>1125</v>
      </c>
      <c r="J128" s="769" t="s">
        <v>61</v>
      </c>
      <c r="K128" s="769" t="s">
        <v>683</v>
      </c>
      <c r="L128" s="770" t="s">
        <v>1618</v>
      </c>
      <c r="M128" s="770">
        <v>42000000</v>
      </c>
      <c r="N128" s="771"/>
      <c r="O128" s="770">
        <f t="shared" si="9"/>
        <v>42000000</v>
      </c>
      <c r="P128" s="768" t="s">
        <v>1126</v>
      </c>
      <c r="Q128" s="769" t="s">
        <v>1619</v>
      </c>
      <c r="R128" s="769" t="s">
        <v>1305</v>
      </c>
      <c r="S128" s="769" t="s">
        <v>1440</v>
      </c>
      <c r="T128" s="769" t="s">
        <v>1620</v>
      </c>
      <c r="U128" s="769" t="s">
        <v>36</v>
      </c>
      <c r="V128" s="769" t="s">
        <v>36</v>
      </c>
      <c r="W128" s="769" t="s">
        <v>36</v>
      </c>
      <c r="X128" s="768" t="s">
        <v>1127</v>
      </c>
      <c r="Y128" s="767">
        <v>43125</v>
      </c>
      <c r="Z128" s="767">
        <v>43333</v>
      </c>
      <c r="AA128" s="772">
        <f t="shared" si="5"/>
        <v>208</v>
      </c>
      <c r="AB128" s="768" t="s">
        <v>148</v>
      </c>
      <c r="AC128" s="767">
        <f t="shared" si="6"/>
        <v>43333</v>
      </c>
      <c r="AD128" s="769" t="s">
        <v>1079</v>
      </c>
      <c r="AE128" s="773" t="s">
        <v>816</v>
      </c>
      <c r="AF128" s="773"/>
      <c r="AG128" s="779"/>
      <c r="AH128" s="769"/>
      <c r="AI128" s="769"/>
      <c r="AJ128" s="774">
        <f t="shared" ca="1" si="8"/>
        <v>16.826923076923077</v>
      </c>
      <c r="AK128" s="775"/>
      <c r="AL128" s="776" t="str">
        <f t="shared" si="7"/>
        <v>13818</v>
      </c>
    </row>
    <row r="129" spans="1:38" ht="170.25" customHeight="1" x14ac:dyDescent="0.25">
      <c r="A129" s="778">
        <v>164</v>
      </c>
      <c r="B129" s="763" t="s">
        <v>1112</v>
      </c>
      <c r="C129" s="764" t="s">
        <v>1113</v>
      </c>
      <c r="D129" s="765">
        <f>+COUNTIF(C:C,C:C)</f>
        <v>1</v>
      </c>
      <c r="E129" s="766" t="s">
        <v>1287</v>
      </c>
      <c r="F129" s="766">
        <v>12272809</v>
      </c>
      <c r="G129" s="766" t="s">
        <v>1299</v>
      </c>
      <c r="H129" s="767">
        <v>43122</v>
      </c>
      <c r="I129" s="768" t="s">
        <v>1114</v>
      </c>
      <c r="J129" s="769" t="s">
        <v>61</v>
      </c>
      <c r="K129" s="769" t="s">
        <v>683</v>
      </c>
      <c r="L129" s="770" t="s">
        <v>1621</v>
      </c>
      <c r="M129" s="770">
        <v>32000000</v>
      </c>
      <c r="N129" s="771"/>
      <c r="O129" s="770">
        <f t="shared" si="9"/>
        <v>32000000</v>
      </c>
      <c r="P129" s="768" t="s">
        <v>1115</v>
      </c>
      <c r="Q129" s="769" t="s">
        <v>1622</v>
      </c>
      <c r="R129" s="769" t="s">
        <v>1305</v>
      </c>
      <c r="S129" s="769" t="s">
        <v>1440</v>
      </c>
      <c r="T129" s="769" t="s">
        <v>1623</v>
      </c>
      <c r="U129" s="769" t="s">
        <v>36</v>
      </c>
      <c r="V129" s="769" t="s">
        <v>36</v>
      </c>
      <c r="W129" s="769" t="s">
        <v>36</v>
      </c>
      <c r="X129" s="768" t="s">
        <v>692</v>
      </c>
      <c r="Y129" s="767">
        <v>43124</v>
      </c>
      <c r="Z129" s="767">
        <v>43366</v>
      </c>
      <c r="AA129" s="772">
        <f t="shared" si="5"/>
        <v>242</v>
      </c>
      <c r="AB129" s="768" t="s">
        <v>148</v>
      </c>
      <c r="AC129" s="767">
        <f t="shared" si="6"/>
        <v>43366</v>
      </c>
      <c r="AD129" s="769" t="s">
        <v>1079</v>
      </c>
      <c r="AE129" s="773" t="s">
        <v>816</v>
      </c>
      <c r="AF129" s="773"/>
      <c r="AG129" s="779"/>
      <c r="AH129" s="769"/>
      <c r="AI129" s="769"/>
      <c r="AJ129" s="774">
        <f t="shared" ca="1" si="8"/>
        <v>14.87603305785124</v>
      </c>
      <c r="AK129" s="775"/>
      <c r="AL129" s="776" t="str">
        <f t="shared" si="7"/>
        <v>13518</v>
      </c>
    </row>
    <row r="130" spans="1:38" ht="201.75" customHeight="1" x14ac:dyDescent="0.25">
      <c r="A130" s="778">
        <v>125</v>
      </c>
      <c r="B130" s="763" t="s">
        <v>964</v>
      </c>
      <c r="C130" s="764" t="s">
        <v>965</v>
      </c>
      <c r="D130" s="765">
        <f>+COUNTIF(C:C,C:C)</f>
        <v>1</v>
      </c>
      <c r="E130" s="766" t="s">
        <v>1287</v>
      </c>
      <c r="F130" s="766">
        <v>79147236</v>
      </c>
      <c r="G130" s="766" t="s">
        <v>1288</v>
      </c>
      <c r="H130" s="767">
        <v>43123</v>
      </c>
      <c r="I130" s="768" t="s">
        <v>966</v>
      </c>
      <c r="J130" s="769" t="s">
        <v>61</v>
      </c>
      <c r="K130" s="769" t="s">
        <v>683</v>
      </c>
      <c r="L130" s="770" t="s">
        <v>1523</v>
      </c>
      <c r="M130" s="770">
        <v>15000000</v>
      </c>
      <c r="N130" s="771"/>
      <c r="O130" s="770">
        <f t="shared" si="9"/>
        <v>15000000</v>
      </c>
      <c r="P130" s="768" t="s">
        <v>717</v>
      </c>
      <c r="Q130" s="769" t="s">
        <v>1624</v>
      </c>
      <c r="R130" s="769" t="s">
        <v>1291</v>
      </c>
      <c r="S130" s="769" t="s">
        <v>1440</v>
      </c>
      <c r="T130" s="769" t="s">
        <v>1625</v>
      </c>
      <c r="U130" s="769" t="s">
        <v>36</v>
      </c>
      <c r="V130" s="769" t="s">
        <v>36</v>
      </c>
      <c r="W130" s="769" t="s">
        <v>36</v>
      </c>
      <c r="X130" s="768" t="s">
        <v>963</v>
      </c>
      <c r="Y130" s="767">
        <v>43125</v>
      </c>
      <c r="Z130" s="767">
        <v>43183</v>
      </c>
      <c r="AA130" s="772">
        <f t="shared" ref="AA130:AA155" si="10">Z130-Y130</f>
        <v>58</v>
      </c>
      <c r="AB130" s="768" t="s">
        <v>148</v>
      </c>
      <c r="AC130" s="767">
        <f t="shared" ref="AC130:AC155" si="11">Z130</f>
        <v>43183</v>
      </c>
      <c r="AD130" s="769" t="s">
        <v>839</v>
      </c>
      <c r="AE130" s="773" t="s">
        <v>840</v>
      </c>
      <c r="AF130" s="773"/>
      <c r="AG130" s="779"/>
      <c r="AH130" s="769"/>
      <c r="AI130" s="769"/>
      <c r="AJ130" s="774">
        <f t="shared" ca="1" si="8"/>
        <v>60.344827586206897</v>
      </c>
      <c r="AK130" s="775"/>
      <c r="AL130" s="776" t="str">
        <f t="shared" si="7"/>
        <v xml:space="preserve">9718 </v>
      </c>
    </row>
    <row r="131" spans="1:38" ht="170.25" customHeight="1" x14ac:dyDescent="0.25">
      <c r="A131" s="778">
        <v>149</v>
      </c>
      <c r="B131" s="763" t="s">
        <v>1058</v>
      </c>
      <c r="C131" s="764" t="s">
        <v>1059</v>
      </c>
      <c r="D131" s="765">
        <f>+COUNTIF(C:C,C:C)</f>
        <v>1</v>
      </c>
      <c r="E131" s="766" t="s">
        <v>1287</v>
      </c>
      <c r="F131" s="766">
        <v>1128055648</v>
      </c>
      <c r="G131" s="766" t="s">
        <v>1288</v>
      </c>
      <c r="H131" s="767">
        <v>43123</v>
      </c>
      <c r="I131" s="768" t="s">
        <v>1060</v>
      </c>
      <c r="J131" s="769" t="s">
        <v>61</v>
      </c>
      <c r="K131" s="769" t="s">
        <v>683</v>
      </c>
      <c r="L131" s="770" t="s">
        <v>1626</v>
      </c>
      <c r="M131" s="770">
        <v>32100000</v>
      </c>
      <c r="N131" s="771"/>
      <c r="O131" s="770">
        <f t="shared" si="9"/>
        <v>32100000</v>
      </c>
      <c r="P131" s="768" t="s">
        <v>1061</v>
      </c>
      <c r="Q131" s="769" t="s">
        <v>1627</v>
      </c>
      <c r="R131" s="769" t="s">
        <v>1291</v>
      </c>
      <c r="S131" s="769" t="s">
        <v>1440</v>
      </c>
      <c r="T131" s="769" t="s">
        <v>1628</v>
      </c>
      <c r="U131" s="769" t="s">
        <v>36</v>
      </c>
      <c r="V131" s="769" t="s">
        <v>36</v>
      </c>
      <c r="W131" s="769" t="s">
        <v>36</v>
      </c>
      <c r="X131" s="768" t="s">
        <v>1062</v>
      </c>
      <c r="Y131" s="767">
        <v>43125</v>
      </c>
      <c r="Z131" s="767">
        <v>43305</v>
      </c>
      <c r="AA131" s="772">
        <f t="shared" si="10"/>
        <v>180</v>
      </c>
      <c r="AB131" s="768" t="s">
        <v>148</v>
      </c>
      <c r="AC131" s="767">
        <f t="shared" si="11"/>
        <v>43305</v>
      </c>
      <c r="AD131" s="769" t="s">
        <v>1063</v>
      </c>
      <c r="AE131" s="773" t="s">
        <v>849</v>
      </c>
      <c r="AF131" s="773"/>
      <c r="AG131" s="779"/>
      <c r="AH131" s="769"/>
      <c r="AI131" s="769"/>
      <c r="AJ131" s="774">
        <f t="shared" ca="1" si="8"/>
        <v>19.444444444444446</v>
      </c>
      <c r="AK131" s="775"/>
      <c r="AL131" s="776" t="str">
        <f t="shared" ref="AL131:AL155" si="12">+MID(Q131,1,5)</f>
        <v>12018</v>
      </c>
    </row>
    <row r="132" spans="1:38" ht="170.25" customHeight="1" x14ac:dyDescent="0.25">
      <c r="A132" s="778">
        <v>214</v>
      </c>
      <c r="B132" s="763" t="s">
        <v>1210</v>
      </c>
      <c r="C132" s="764" t="s">
        <v>1209</v>
      </c>
      <c r="D132" s="765">
        <f>+COUNTIF(C:C,C:C)</f>
        <v>1</v>
      </c>
      <c r="E132" s="766" t="s">
        <v>1287</v>
      </c>
      <c r="F132" s="766">
        <v>52706128</v>
      </c>
      <c r="G132" s="766" t="s">
        <v>1288</v>
      </c>
      <c r="H132" s="767">
        <v>43123</v>
      </c>
      <c r="I132" s="768" t="s">
        <v>1211</v>
      </c>
      <c r="J132" s="769" t="s">
        <v>61</v>
      </c>
      <c r="K132" s="769" t="s">
        <v>683</v>
      </c>
      <c r="L132" s="770" t="s">
        <v>1629</v>
      </c>
      <c r="M132" s="770">
        <v>36000000</v>
      </c>
      <c r="N132" s="771"/>
      <c r="O132" s="770">
        <f t="shared" si="9"/>
        <v>36000000</v>
      </c>
      <c r="P132" s="768" t="s">
        <v>1212</v>
      </c>
      <c r="Q132" s="769" t="s">
        <v>1630</v>
      </c>
      <c r="R132" s="769" t="s">
        <v>1291</v>
      </c>
      <c r="S132" s="769" t="s">
        <v>1440</v>
      </c>
      <c r="T132" s="769" t="s">
        <v>1631</v>
      </c>
      <c r="U132" s="769" t="s">
        <v>36</v>
      </c>
      <c r="V132" s="769" t="s">
        <v>36</v>
      </c>
      <c r="W132" s="769" t="s">
        <v>36</v>
      </c>
      <c r="X132" s="768" t="s">
        <v>692</v>
      </c>
      <c r="Y132" s="767">
        <v>43126</v>
      </c>
      <c r="Z132" s="767">
        <v>43368</v>
      </c>
      <c r="AA132" s="772">
        <f t="shared" si="10"/>
        <v>242</v>
      </c>
      <c r="AB132" s="768" t="s">
        <v>148</v>
      </c>
      <c r="AC132" s="767">
        <f t="shared" si="11"/>
        <v>43368</v>
      </c>
      <c r="AD132" s="769" t="s">
        <v>686</v>
      </c>
      <c r="AE132" s="773" t="s">
        <v>672</v>
      </c>
      <c r="AF132" s="773"/>
      <c r="AG132" s="779"/>
      <c r="AH132" s="769"/>
      <c r="AI132" s="769"/>
      <c r="AJ132" s="774">
        <f t="shared" ref="AJ132:AJ155" ca="1" si="13">($AK$2-Y132)/(AC132-Y132)*100</f>
        <v>14.049586776859504</v>
      </c>
      <c r="AK132" s="775"/>
      <c r="AL132" s="776" t="str">
        <f t="shared" si="12"/>
        <v>18218</v>
      </c>
    </row>
    <row r="133" spans="1:38" ht="170.25" customHeight="1" x14ac:dyDescent="0.25">
      <c r="A133" s="778">
        <v>127</v>
      </c>
      <c r="B133" s="763" t="s">
        <v>971</v>
      </c>
      <c r="C133" s="764" t="s">
        <v>972</v>
      </c>
      <c r="D133" s="765">
        <f>+COUNTIF(C:C,C:C)</f>
        <v>1</v>
      </c>
      <c r="E133" s="766" t="s">
        <v>1287</v>
      </c>
      <c r="F133" s="766">
        <v>41498814</v>
      </c>
      <c r="G133" s="766" t="s">
        <v>1288</v>
      </c>
      <c r="H133" s="767">
        <v>43123</v>
      </c>
      <c r="I133" s="768" t="s">
        <v>973</v>
      </c>
      <c r="J133" s="769" t="s">
        <v>61</v>
      </c>
      <c r="K133" s="769" t="s">
        <v>683</v>
      </c>
      <c r="L133" s="770" t="s">
        <v>1632</v>
      </c>
      <c r="M133" s="770">
        <v>45000000</v>
      </c>
      <c r="N133" s="771"/>
      <c r="O133" s="770">
        <f t="shared" si="9"/>
        <v>45000000</v>
      </c>
      <c r="P133" s="768" t="s">
        <v>974</v>
      </c>
      <c r="Q133" s="769" t="s">
        <v>1633</v>
      </c>
      <c r="R133" s="769" t="s">
        <v>1291</v>
      </c>
      <c r="S133" s="769" t="s">
        <v>1440</v>
      </c>
      <c r="T133" s="769" t="s">
        <v>1634</v>
      </c>
      <c r="U133" s="769" t="s">
        <v>36</v>
      </c>
      <c r="V133" s="769" t="s">
        <v>36</v>
      </c>
      <c r="W133" s="769" t="s">
        <v>36</v>
      </c>
      <c r="X133" s="768" t="s">
        <v>934</v>
      </c>
      <c r="Y133" s="767">
        <v>43125</v>
      </c>
      <c r="Z133" s="767">
        <v>43214</v>
      </c>
      <c r="AA133" s="772">
        <f t="shared" si="10"/>
        <v>89</v>
      </c>
      <c r="AB133" s="768" t="s">
        <v>148</v>
      </c>
      <c r="AC133" s="767">
        <f t="shared" si="11"/>
        <v>43214</v>
      </c>
      <c r="AD133" s="769" t="s">
        <v>975</v>
      </c>
      <c r="AE133" s="773" t="s">
        <v>854</v>
      </c>
      <c r="AF133" s="773"/>
      <c r="AG133" s="779"/>
      <c r="AH133" s="769"/>
      <c r="AI133" s="769"/>
      <c r="AJ133" s="774">
        <f t="shared" ca="1" si="13"/>
        <v>39.325842696629216</v>
      </c>
      <c r="AK133" s="775"/>
      <c r="AL133" s="776" t="str">
        <f t="shared" si="12"/>
        <v xml:space="preserve">9918 </v>
      </c>
    </row>
    <row r="134" spans="1:38" ht="170.25" customHeight="1" x14ac:dyDescent="0.25">
      <c r="A134" s="778">
        <v>122</v>
      </c>
      <c r="B134" s="763" t="s">
        <v>951</v>
      </c>
      <c r="C134" s="764" t="s">
        <v>952</v>
      </c>
      <c r="D134" s="765">
        <f>+COUNTIF(C:C,C:C)</f>
        <v>1</v>
      </c>
      <c r="E134" s="766" t="s">
        <v>1287</v>
      </c>
      <c r="F134" s="766">
        <v>1032446211</v>
      </c>
      <c r="G134" s="766" t="s">
        <v>1288</v>
      </c>
      <c r="H134" s="767">
        <v>43124</v>
      </c>
      <c r="I134" s="768" t="s">
        <v>953</v>
      </c>
      <c r="J134" s="769" t="s">
        <v>61</v>
      </c>
      <c r="K134" s="769" t="s">
        <v>683</v>
      </c>
      <c r="L134" s="770" t="s">
        <v>1499</v>
      </c>
      <c r="M134" s="770">
        <v>31160000</v>
      </c>
      <c r="N134" s="771"/>
      <c r="O134" s="770">
        <f t="shared" si="9"/>
        <v>31160000</v>
      </c>
      <c r="P134" s="768" t="s">
        <v>954</v>
      </c>
      <c r="Q134" s="769" t="s">
        <v>1635</v>
      </c>
      <c r="R134" s="769" t="s">
        <v>1291</v>
      </c>
      <c r="S134" s="769" t="s">
        <v>1440</v>
      </c>
      <c r="T134" s="769" t="s">
        <v>1636</v>
      </c>
      <c r="U134" s="769" t="s">
        <v>36</v>
      </c>
      <c r="V134" s="769" t="s">
        <v>36</v>
      </c>
      <c r="W134" s="769" t="s">
        <v>36</v>
      </c>
      <c r="X134" s="768" t="s">
        <v>692</v>
      </c>
      <c r="Y134" s="767">
        <v>43124</v>
      </c>
      <c r="Z134" s="767">
        <v>43366</v>
      </c>
      <c r="AA134" s="772">
        <f t="shared" si="10"/>
        <v>242</v>
      </c>
      <c r="AB134" s="768" t="s">
        <v>148</v>
      </c>
      <c r="AC134" s="767">
        <f t="shared" si="11"/>
        <v>43366</v>
      </c>
      <c r="AD134" s="769" t="s">
        <v>1326</v>
      </c>
      <c r="AE134" s="773" t="s">
        <v>693</v>
      </c>
      <c r="AF134" s="773" t="s">
        <v>710</v>
      </c>
      <c r="AG134" s="779"/>
      <c r="AH134" s="769"/>
      <c r="AI134" s="769"/>
      <c r="AJ134" s="774">
        <f t="shared" ca="1" si="13"/>
        <v>14.87603305785124</v>
      </c>
      <c r="AK134" s="775"/>
      <c r="AL134" s="776" t="str">
        <f t="shared" si="12"/>
        <v xml:space="preserve">9418 </v>
      </c>
    </row>
    <row r="135" spans="1:38" ht="170.25" customHeight="1" x14ac:dyDescent="0.25">
      <c r="A135" s="778">
        <v>216</v>
      </c>
      <c r="B135" s="763" t="s">
        <v>1213</v>
      </c>
      <c r="C135" s="764" t="s">
        <v>1214</v>
      </c>
      <c r="D135" s="765">
        <f>+COUNTIF(C:C,C:C)</f>
        <v>1</v>
      </c>
      <c r="E135" s="766" t="s">
        <v>1287</v>
      </c>
      <c r="F135" s="766">
        <v>1020750057</v>
      </c>
      <c r="G135" s="766" t="s">
        <v>1288</v>
      </c>
      <c r="H135" s="767">
        <v>43124</v>
      </c>
      <c r="I135" s="768" t="s">
        <v>1215</v>
      </c>
      <c r="J135" s="769" t="s">
        <v>61</v>
      </c>
      <c r="K135" s="769" t="s">
        <v>683</v>
      </c>
      <c r="L135" s="770" t="s">
        <v>1637</v>
      </c>
      <c r="M135" s="770">
        <v>47624000</v>
      </c>
      <c r="N135" s="771"/>
      <c r="O135" s="770">
        <f t="shared" ref="O135:O155" si="14">M135</f>
        <v>47624000</v>
      </c>
      <c r="P135" s="768" t="s">
        <v>1216</v>
      </c>
      <c r="Q135" s="769" t="s">
        <v>1638</v>
      </c>
      <c r="R135" s="769" t="s">
        <v>1291</v>
      </c>
      <c r="S135" s="769" t="s">
        <v>1440</v>
      </c>
      <c r="T135" s="769" t="s">
        <v>1639</v>
      </c>
      <c r="U135" s="769" t="s">
        <v>36</v>
      </c>
      <c r="V135" s="769" t="s">
        <v>36</v>
      </c>
      <c r="W135" s="769" t="s">
        <v>36</v>
      </c>
      <c r="X135" s="768" t="s">
        <v>692</v>
      </c>
      <c r="Y135" s="767">
        <v>43126</v>
      </c>
      <c r="Z135" s="767">
        <v>43368</v>
      </c>
      <c r="AA135" s="772">
        <f t="shared" si="10"/>
        <v>242</v>
      </c>
      <c r="AB135" s="768" t="s">
        <v>148</v>
      </c>
      <c r="AC135" s="767">
        <f t="shared" si="11"/>
        <v>43368</v>
      </c>
      <c r="AD135" s="769" t="s">
        <v>748</v>
      </c>
      <c r="AE135" s="773" t="s">
        <v>301</v>
      </c>
      <c r="AF135" s="773"/>
      <c r="AG135" s="779"/>
      <c r="AH135" s="769"/>
      <c r="AI135" s="769"/>
      <c r="AJ135" s="774">
        <f t="shared" ca="1" si="13"/>
        <v>14.049586776859504</v>
      </c>
      <c r="AK135" s="775"/>
      <c r="AL135" s="776" t="str">
        <f t="shared" si="12"/>
        <v>17918</v>
      </c>
    </row>
    <row r="136" spans="1:38" ht="170.25" customHeight="1" x14ac:dyDescent="0.25">
      <c r="A136" s="778">
        <v>174</v>
      </c>
      <c r="B136" s="763" t="s">
        <v>1145</v>
      </c>
      <c r="C136" s="764" t="s">
        <v>1146</v>
      </c>
      <c r="D136" s="765">
        <f>+COUNTIF(C:C,C:C)</f>
        <v>1</v>
      </c>
      <c r="E136" s="766" t="s">
        <v>1287</v>
      </c>
      <c r="F136" s="766">
        <v>1130673116</v>
      </c>
      <c r="G136" s="766" t="s">
        <v>1299</v>
      </c>
      <c r="H136" s="767">
        <v>43124</v>
      </c>
      <c r="I136" s="768" t="s">
        <v>1147</v>
      </c>
      <c r="J136" s="769" t="s">
        <v>61</v>
      </c>
      <c r="K136" s="769" t="s">
        <v>683</v>
      </c>
      <c r="L136" s="770" t="s">
        <v>1491</v>
      </c>
      <c r="M136" s="770">
        <v>72000000</v>
      </c>
      <c r="N136" s="771"/>
      <c r="O136" s="770">
        <f t="shared" si="14"/>
        <v>72000000</v>
      </c>
      <c r="P136" s="768" t="s">
        <v>1148</v>
      </c>
      <c r="Q136" s="769" t="s">
        <v>1640</v>
      </c>
      <c r="R136" s="769" t="s">
        <v>1305</v>
      </c>
      <c r="S136" s="769" t="s">
        <v>1440</v>
      </c>
      <c r="T136" s="769" t="s">
        <v>1641</v>
      </c>
      <c r="U136" s="769" t="s">
        <v>36</v>
      </c>
      <c r="V136" s="769" t="s">
        <v>36</v>
      </c>
      <c r="W136" s="769" t="s">
        <v>36</v>
      </c>
      <c r="X136" s="768" t="s">
        <v>692</v>
      </c>
      <c r="Y136" s="767">
        <v>43126</v>
      </c>
      <c r="Z136" s="767">
        <v>43368</v>
      </c>
      <c r="AA136" s="772">
        <f t="shared" si="10"/>
        <v>242</v>
      </c>
      <c r="AB136" s="768" t="s">
        <v>148</v>
      </c>
      <c r="AC136" s="767">
        <f t="shared" si="11"/>
        <v>43368</v>
      </c>
      <c r="AD136" s="769" t="s">
        <v>1079</v>
      </c>
      <c r="AE136" s="773" t="s">
        <v>816</v>
      </c>
      <c r="AF136" s="773"/>
      <c r="AG136" s="779"/>
      <c r="AH136" s="769"/>
      <c r="AI136" s="769"/>
      <c r="AJ136" s="774">
        <f t="shared" ca="1" si="13"/>
        <v>14.049586776859504</v>
      </c>
      <c r="AK136" s="775"/>
      <c r="AL136" s="776" t="str">
        <f t="shared" si="12"/>
        <v>14418</v>
      </c>
    </row>
    <row r="137" spans="1:38" ht="170.25" customHeight="1" x14ac:dyDescent="0.25">
      <c r="A137" s="778">
        <v>65</v>
      </c>
      <c r="B137" s="763" t="s">
        <v>729</v>
      </c>
      <c r="C137" s="764" t="s">
        <v>237</v>
      </c>
      <c r="D137" s="765">
        <f>+COUNTIF(C:C,C:C)</f>
        <v>2</v>
      </c>
      <c r="E137" s="766" t="s">
        <v>1287</v>
      </c>
      <c r="F137" s="766">
        <v>80153592</v>
      </c>
      <c r="G137" s="766" t="s">
        <v>1299</v>
      </c>
      <c r="H137" s="767">
        <v>43125</v>
      </c>
      <c r="I137" s="768" t="s">
        <v>730</v>
      </c>
      <c r="J137" s="769" t="s">
        <v>61</v>
      </c>
      <c r="K137" s="769" t="s">
        <v>683</v>
      </c>
      <c r="L137" s="770" t="s">
        <v>1642</v>
      </c>
      <c r="M137" s="770">
        <v>47500000</v>
      </c>
      <c r="N137" s="771"/>
      <c r="O137" s="770">
        <f t="shared" si="14"/>
        <v>47500000</v>
      </c>
      <c r="P137" s="768" t="s">
        <v>731</v>
      </c>
      <c r="Q137" s="769" t="s">
        <v>1643</v>
      </c>
      <c r="R137" s="769" t="s">
        <v>1291</v>
      </c>
      <c r="S137" s="769" t="s">
        <v>88</v>
      </c>
      <c r="T137" s="769" t="s">
        <v>1644</v>
      </c>
      <c r="U137" s="769" t="s">
        <v>36</v>
      </c>
      <c r="V137" s="769" t="s">
        <v>36</v>
      </c>
      <c r="W137" s="769" t="s">
        <v>36</v>
      </c>
      <c r="X137" s="768" t="s">
        <v>704</v>
      </c>
      <c r="Y137" s="767">
        <v>43125</v>
      </c>
      <c r="Z137" s="767">
        <v>43275</v>
      </c>
      <c r="AA137" s="772">
        <f t="shared" si="10"/>
        <v>150</v>
      </c>
      <c r="AB137" s="768" t="s">
        <v>148</v>
      </c>
      <c r="AC137" s="767">
        <f t="shared" si="11"/>
        <v>43275</v>
      </c>
      <c r="AD137" s="769" t="s">
        <v>1313</v>
      </c>
      <c r="AE137" s="773" t="s">
        <v>693</v>
      </c>
      <c r="AF137" s="773" t="s">
        <v>710</v>
      </c>
      <c r="AG137" s="779"/>
      <c r="AH137" s="769"/>
      <c r="AI137" s="769"/>
      <c r="AJ137" s="774">
        <f t="shared" ca="1" si="13"/>
        <v>23.333333333333332</v>
      </c>
      <c r="AK137" s="775"/>
      <c r="AL137" s="776" t="str">
        <f t="shared" si="12"/>
        <v xml:space="preserve">2918 </v>
      </c>
    </row>
    <row r="138" spans="1:38" ht="170.25" customHeight="1" x14ac:dyDescent="0.25">
      <c r="A138" s="778" t="s">
        <v>36</v>
      </c>
      <c r="B138" s="763" t="s">
        <v>1645</v>
      </c>
      <c r="C138" s="764" t="s">
        <v>1646</v>
      </c>
      <c r="D138" s="765">
        <f>+COUNTIF(C:C,C:C)</f>
        <v>1</v>
      </c>
      <c r="E138" s="766" t="s">
        <v>1647</v>
      </c>
      <c r="F138" s="766" t="s">
        <v>1648</v>
      </c>
      <c r="G138" s="766" t="s">
        <v>1649</v>
      </c>
      <c r="H138" s="767">
        <v>43125</v>
      </c>
      <c r="I138" s="768" t="s">
        <v>1650</v>
      </c>
      <c r="J138" s="769" t="s">
        <v>1651</v>
      </c>
      <c r="K138" s="769" t="s">
        <v>1652</v>
      </c>
      <c r="L138" s="770" t="s">
        <v>36</v>
      </c>
      <c r="M138" s="770">
        <v>0</v>
      </c>
      <c r="N138" s="771"/>
      <c r="O138" s="770">
        <f t="shared" si="14"/>
        <v>0</v>
      </c>
      <c r="P138" s="770" t="s">
        <v>36</v>
      </c>
      <c r="Q138" s="770" t="s">
        <v>36</v>
      </c>
      <c r="R138" s="770" t="s">
        <v>36</v>
      </c>
      <c r="S138" s="770" t="s">
        <v>36</v>
      </c>
      <c r="T138" s="770" t="s">
        <v>36</v>
      </c>
      <c r="U138" s="769" t="s">
        <v>36</v>
      </c>
      <c r="V138" s="769" t="s">
        <v>36</v>
      </c>
      <c r="W138" s="769" t="s">
        <v>36</v>
      </c>
      <c r="X138" s="768" t="s">
        <v>1653</v>
      </c>
      <c r="Y138" s="767">
        <v>43125</v>
      </c>
      <c r="Z138" s="767">
        <v>43854</v>
      </c>
      <c r="AA138" s="772">
        <f t="shared" si="10"/>
        <v>729</v>
      </c>
      <c r="AB138" s="768" t="s">
        <v>148</v>
      </c>
      <c r="AC138" s="767">
        <f t="shared" si="11"/>
        <v>43854</v>
      </c>
      <c r="AD138" s="769" t="s">
        <v>1654</v>
      </c>
      <c r="AE138" s="773" t="s">
        <v>700</v>
      </c>
      <c r="AF138" s="773"/>
      <c r="AG138" s="779"/>
      <c r="AH138" s="769"/>
      <c r="AI138" s="769"/>
      <c r="AJ138" s="774">
        <f t="shared" ca="1" si="13"/>
        <v>4.8010973936899859</v>
      </c>
      <c r="AK138" s="775"/>
      <c r="AL138" s="776" t="str">
        <f t="shared" si="12"/>
        <v>N/A</v>
      </c>
    </row>
    <row r="139" spans="1:38" ht="170.25" customHeight="1" x14ac:dyDescent="0.25">
      <c r="A139" s="778">
        <v>183</v>
      </c>
      <c r="B139" s="763" t="s">
        <v>1171</v>
      </c>
      <c r="C139" s="764" t="s">
        <v>1172</v>
      </c>
      <c r="D139" s="765">
        <f>+COUNTIF(C:C,C:C)</f>
        <v>1</v>
      </c>
      <c r="E139" s="766" t="s">
        <v>1287</v>
      </c>
      <c r="F139" s="766">
        <v>1015998453</v>
      </c>
      <c r="G139" s="766" t="s">
        <v>1288</v>
      </c>
      <c r="H139" s="767">
        <v>43125</v>
      </c>
      <c r="I139" s="768" t="s">
        <v>1173</v>
      </c>
      <c r="J139" s="769" t="s">
        <v>61</v>
      </c>
      <c r="K139" s="769" t="s">
        <v>683</v>
      </c>
      <c r="L139" s="770" t="s">
        <v>1442</v>
      </c>
      <c r="M139" s="770">
        <v>59500000</v>
      </c>
      <c r="N139" s="771"/>
      <c r="O139" s="770">
        <f t="shared" si="14"/>
        <v>59500000</v>
      </c>
      <c r="P139" s="768" t="s">
        <v>1174</v>
      </c>
      <c r="Q139" s="769" t="s">
        <v>1655</v>
      </c>
      <c r="R139" s="769" t="s">
        <v>1305</v>
      </c>
      <c r="S139" s="769" t="s">
        <v>1440</v>
      </c>
      <c r="T139" s="769" t="s">
        <v>1656</v>
      </c>
      <c r="U139" s="769" t="s">
        <v>36</v>
      </c>
      <c r="V139" s="769" t="s">
        <v>36</v>
      </c>
      <c r="W139" s="769" t="s">
        <v>36</v>
      </c>
      <c r="X139" s="768" t="s">
        <v>1127</v>
      </c>
      <c r="Y139" s="767">
        <v>43126</v>
      </c>
      <c r="Z139" s="767">
        <v>43337</v>
      </c>
      <c r="AA139" s="772">
        <f t="shared" si="10"/>
        <v>211</v>
      </c>
      <c r="AB139" s="768" t="s">
        <v>148</v>
      </c>
      <c r="AC139" s="767">
        <f t="shared" si="11"/>
        <v>43337</v>
      </c>
      <c r="AD139" s="769" t="s">
        <v>1079</v>
      </c>
      <c r="AE139" s="773" t="s">
        <v>816</v>
      </c>
      <c r="AF139" s="773"/>
      <c r="AG139" s="779"/>
      <c r="AH139" s="769"/>
      <c r="AI139" s="769"/>
      <c r="AJ139" s="774">
        <f t="shared" ca="1" si="13"/>
        <v>16.113744075829384</v>
      </c>
      <c r="AK139" s="775"/>
      <c r="AL139" s="776" t="str">
        <f t="shared" si="12"/>
        <v>15418</v>
      </c>
    </row>
    <row r="140" spans="1:38" ht="192" customHeight="1" x14ac:dyDescent="0.25">
      <c r="A140" s="778">
        <v>160</v>
      </c>
      <c r="B140" s="763" t="s">
        <v>1097</v>
      </c>
      <c r="C140" s="764" t="s">
        <v>239</v>
      </c>
      <c r="D140" s="765">
        <f>+COUNTIF(C:C,C:C)</f>
        <v>1</v>
      </c>
      <c r="E140" s="766" t="s">
        <v>1287</v>
      </c>
      <c r="F140" s="766">
        <v>34058214</v>
      </c>
      <c r="G140" s="766" t="s">
        <v>1288</v>
      </c>
      <c r="H140" s="767">
        <v>43125</v>
      </c>
      <c r="I140" s="768" t="s">
        <v>1098</v>
      </c>
      <c r="J140" s="769" t="s">
        <v>61</v>
      </c>
      <c r="K140" s="769" t="s">
        <v>683</v>
      </c>
      <c r="L140" s="770" t="s">
        <v>1502</v>
      </c>
      <c r="M140" s="770">
        <v>48000000</v>
      </c>
      <c r="N140" s="771"/>
      <c r="O140" s="770">
        <f t="shared" si="14"/>
        <v>48000000</v>
      </c>
      <c r="P140" s="768" t="s">
        <v>1099</v>
      </c>
      <c r="Q140" s="769" t="s">
        <v>1657</v>
      </c>
      <c r="R140" s="769" t="s">
        <v>1291</v>
      </c>
      <c r="S140" s="769" t="s">
        <v>1440</v>
      </c>
      <c r="T140" s="769" t="s">
        <v>1658</v>
      </c>
      <c r="U140" s="769" t="s">
        <v>36</v>
      </c>
      <c r="V140" s="769" t="s">
        <v>36</v>
      </c>
      <c r="W140" s="769" t="s">
        <v>36</v>
      </c>
      <c r="X140" s="768" t="s">
        <v>692</v>
      </c>
      <c r="Y140" s="767">
        <v>43126</v>
      </c>
      <c r="Z140" s="767">
        <v>43368</v>
      </c>
      <c r="AA140" s="772">
        <f t="shared" si="10"/>
        <v>242</v>
      </c>
      <c r="AB140" s="768" t="s">
        <v>148</v>
      </c>
      <c r="AC140" s="767">
        <f t="shared" si="11"/>
        <v>43368</v>
      </c>
      <c r="AD140" s="769" t="s">
        <v>1100</v>
      </c>
      <c r="AE140" s="773" t="s">
        <v>875</v>
      </c>
      <c r="AF140" s="773"/>
      <c r="AG140" s="779"/>
      <c r="AH140" s="769"/>
      <c r="AI140" s="769"/>
      <c r="AJ140" s="774">
        <f t="shared" ca="1" si="13"/>
        <v>14.049586776859504</v>
      </c>
      <c r="AK140" s="775"/>
      <c r="AL140" s="776" t="str">
        <f t="shared" si="12"/>
        <v>13118</v>
      </c>
    </row>
    <row r="141" spans="1:38" ht="170.25" customHeight="1" x14ac:dyDescent="0.25">
      <c r="A141" s="778">
        <v>31</v>
      </c>
      <c r="B141" s="763" t="s">
        <v>687</v>
      </c>
      <c r="C141" s="764" t="s">
        <v>688</v>
      </c>
      <c r="D141" s="765">
        <f>+COUNTIF(C:C,C:C)</f>
        <v>1</v>
      </c>
      <c r="E141" s="766" t="s">
        <v>1287</v>
      </c>
      <c r="F141" s="766">
        <v>1020774113</v>
      </c>
      <c r="G141" s="766" t="s">
        <v>1288</v>
      </c>
      <c r="H141" s="767">
        <v>43125</v>
      </c>
      <c r="I141" s="768" t="s">
        <v>689</v>
      </c>
      <c r="J141" s="769" t="s">
        <v>61</v>
      </c>
      <c r="K141" s="769" t="s">
        <v>690</v>
      </c>
      <c r="L141" s="770" t="s">
        <v>1570</v>
      </c>
      <c r="M141" s="770">
        <v>16000000</v>
      </c>
      <c r="N141" s="771"/>
      <c r="O141" s="770">
        <f t="shared" si="14"/>
        <v>16000000</v>
      </c>
      <c r="P141" s="768" t="s">
        <v>691</v>
      </c>
      <c r="Q141" s="769" t="s">
        <v>1659</v>
      </c>
      <c r="R141" s="769" t="s">
        <v>1291</v>
      </c>
      <c r="S141" s="769" t="s">
        <v>88</v>
      </c>
      <c r="T141" s="769" t="s">
        <v>1644</v>
      </c>
      <c r="U141" s="769" t="s">
        <v>36</v>
      </c>
      <c r="V141" s="769" t="s">
        <v>36</v>
      </c>
      <c r="W141" s="769" t="s">
        <v>36</v>
      </c>
      <c r="X141" s="768" t="s">
        <v>692</v>
      </c>
      <c r="Y141" s="767">
        <v>43125</v>
      </c>
      <c r="Z141" s="767">
        <v>43367</v>
      </c>
      <c r="AA141" s="772">
        <f t="shared" si="10"/>
        <v>242</v>
      </c>
      <c r="AB141" s="768" t="s">
        <v>148</v>
      </c>
      <c r="AC141" s="767">
        <f t="shared" si="11"/>
        <v>43367</v>
      </c>
      <c r="AD141" s="769" t="s">
        <v>1313</v>
      </c>
      <c r="AE141" s="773" t="s">
        <v>693</v>
      </c>
      <c r="AF141" s="773" t="s">
        <v>710</v>
      </c>
      <c r="AG141" s="779"/>
      <c r="AH141" s="769"/>
      <c r="AI141" s="769"/>
      <c r="AJ141" s="774">
        <f t="shared" ca="1" si="13"/>
        <v>14.46280991735537</v>
      </c>
      <c r="AK141" s="775"/>
      <c r="AL141" s="776" t="str">
        <f t="shared" si="12"/>
        <v>18018</v>
      </c>
    </row>
    <row r="142" spans="1:38" ht="170.25" customHeight="1" x14ac:dyDescent="0.25">
      <c r="A142" s="778">
        <v>45</v>
      </c>
      <c r="B142" s="763" t="s">
        <v>694</v>
      </c>
      <c r="C142" s="764" t="s">
        <v>695</v>
      </c>
      <c r="D142" s="765">
        <f>+COUNTIF(C:C,C:C)</f>
        <v>1</v>
      </c>
      <c r="E142" s="766" t="s">
        <v>1647</v>
      </c>
      <c r="F142" s="766">
        <v>860035467</v>
      </c>
      <c r="G142" s="766" t="s">
        <v>1649</v>
      </c>
      <c r="H142" s="767">
        <v>43125</v>
      </c>
      <c r="I142" s="768" t="s">
        <v>696</v>
      </c>
      <c r="J142" s="769" t="s">
        <v>61</v>
      </c>
      <c r="K142" s="769" t="s">
        <v>676</v>
      </c>
      <c r="L142" s="770" t="s">
        <v>1660</v>
      </c>
      <c r="M142" s="770">
        <v>1120000</v>
      </c>
      <c r="N142" s="771"/>
      <c r="O142" s="770">
        <f t="shared" si="14"/>
        <v>1120000</v>
      </c>
      <c r="P142" s="768" t="s">
        <v>697</v>
      </c>
      <c r="Q142" s="769" t="s">
        <v>1661</v>
      </c>
      <c r="R142" s="769" t="s">
        <v>1291</v>
      </c>
      <c r="S142" s="769" t="s">
        <v>1440</v>
      </c>
      <c r="T142" s="769" t="s">
        <v>1662</v>
      </c>
      <c r="U142" s="769" t="s">
        <v>36</v>
      </c>
      <c r="V142" s="769" t="s">
        <v>36</v>
      </c>
      <c r="W142" s="769" t="s">
        <v>36</v>
      </c>
      <c r="X142" s="768" t="s">
        <v>698</v>
      </c>
      <c r="Y142" s="767">
        <v>43126</v>
      </c>
      <c r="Z142" s="767">
        <v>43156</v>
      </c>
      <c r="AA142" s="772">
        <f t="shared" si="10"/>
        <v>30</v>
      </c>
      <c r="AB142" s="768" t="s">
        <v>148</v>
      </c>
      <c r="AC142" s="767">
        <f t="shared" si="11"/>
        <v>43156</v>
      </c>
      <c r="AD142" s="769" t="s">
        <v>699</v>
      </c>
      <c r="AE142" s="773" t="s">
        <v>700</v>
      </c>
      <c r="AF142" s="773"/>
      <c r="AG142" s="779"/>
      <c r="AH142" s="769"/>
      <c r="AI142" s="769"/>
      <c r="AJ142" s="774">
        <f t="shared" ca="1" si="13"/>
        <v>113.33333333333333</v>
      </c>
      <c r="AK142" s="775"/>
      <c r="AL142" s="776" t="str">
        <f t="shared" si="12"/>
        <v>17718</v>
      </c>
    </row>
    <row r="143" spans="1:38" ht="170.25" customHeight="1" x14ac:dyDescent="0.25">
      <c r="A143" s="778">
        <v>199</v>
      </c>
      <c r="B143" s="763" t="s">
        <v>1205</v>
      </c>
      <c r="C143" s="764" t="s">
        <v>1206</v>
      </c>
      <c r="D143" s="765">
        <f>+COUNTIF(C:C,C:C)</f>
        <v>1</v>
      </c>
      <c r="E143" s="766" t="s">
        <v>1647</v>
      </c>
      <c r="F143" s="766">
        <v>860006543</v>
      </c>
      <c r="G143" s="766" t="s">
        <v>1649</v>
      </c>
      <c r="H143" s="767">
        <v>43125</v>
      </c>
      <c r="I143" s="768" t="s">
        <v>1207</v>
      </c>
      <c r="J143" s="769" t="s">
        <v>61</v>
      </c>
      <c r="K143" s="769" t="s">
        <v>668</v>
      </c>
      <c r="L143" s="770" t="s">
        <v>1663</v>
      </c>
      <c r="M143" s="770">
        <v>500000000</v>
      </c>
      <c r="N143" s="771"/>
      <c r="O143" s="770">
        <f t="shared" si="14"/>
        <v>500000000</v>
      </c>
      <c r="P143" s="768" t="s">
        <v>1208</v>
      </c>
      <c r="Q143" s="769" t="s">
        <v>1664</v>
      </c>
      <c r="R143" s="769" t="s">
        <v>1291</v>
      </c>
      <c r="S143" s="769" t="s">
        <v>1440</v>
      </c>
      <c r="T143" s="769" t="s">
        <v>1665</v>
      </c>
      <c r="U143" s="769" t="s">
        <v>1666</v>
      </c>
      <c r="V143" s="767">
        <v>43126</v>
      </c>
      <c r="W143" s="767">
        <v>43130</v>
      </c>
      <c r="X143" s="768" t="s">
        <v>685</v>
      </c>
      <c r="Y143" s="767">
        <v>43130</v>
      </c>
      <c r="Z143" s="767">
        <v>43462</v>
      </c>
      <c r="AA143" s="772">
        <f t="shared" si="10"/>
        <v>332</v>
      </c>
      <c r="AB143" s="768" t="s">
        <v>148</v>
      </c>
      <c r="AC143" s="767">
        <f t="shared" si="11"/>
        <v>43462</v>
      </c>
      <c r="AD143" s="769" t="s">
        <v>1209</v>
      </c>
      <c r="AE143" s="773" t="s">
        <v>672</v>
      </c>
      <c r="AF143" s="773"/>
      <c r="AG143" s="779"/>
      <c r="AH143" s="769"/>
      <c r="AI143" s="769"/>
      <c r="AJ143" s="774">
        <f t="shared" ca="1" si="13"/>
        <v>9.0361445783132535</v>
      </c>
      <c r="AK143" s="775"/>
      <c r="AL143" s="776" t="str">
        <f t="shared" si="12"/>
        <v>18118</v>
      </c>
    </row>
    <row r="144" spans="1:38" ht="170.25" customHeight="1" x14ac:dyDescent="0.25">
      <c r="A144" s="778">
        <v>22</v>
      </c>
      <c r="B144" s="763" t="s">
        <v>673</v>
      </c>
      <c r="C144" s="764" t="s">
        <v>674</v>
      </c>
      <c r="D144" s="765">
        <f>+COUNTIF(C:C,C:C)</f>
        <v>1</v>
      </c>
      <c r="E144" s="766" t="s">
        <v>1647</v>
      </c>
      <c r="F144" s="766" t="s">
        <v>1667</v>
      </c>
      <c r="G144" s="766" t="s">
        <v>1649</v>
      </c>
      <c r="H144" s="767">
        <v>43126</v>
      </c>
      <c r="I144" s="768" t="s">
        <v>675</v>
      </c>
      <c r="J144" s="769" t="s">
        <v>61</v>
      </c>
      <c r="K144" s="769" t="s">
        <v>676</v>
      </c>
      <c r="L144" s="770" t="s">
        <v>1660</v>
      </c>
      <c r="M144" s="770">
        <v>6064473</v>
      </c>
      <c r="N144" s="771"/>
      <c r="O144" s="770">
        <f t="shared" si="14"/>
        <v>6064473</v>
      </c>
      <c r="P144" s="768" t="s">
        <v>677</v>
      </c>
      <c r="Q144" s="769" t="s">
        <v>1668</v>
      </c>
      <c r="R144" s="769" t="s">
        <v>1321</v>
      </c>
      <c r="S144" s="769" t="s">
        <v>88</v>
      </c>
      <c r="T144" s="769" t="s">
        <v>1669</v>
      </c>
      <c r="U144" s="769" t="s">
        <v>1670</v>
      </c>
      <c r="V144" s="767">
        <v>43132</v>
      </c>
      <c r="W144" s="767">
        <v>43133</v>
      </c>
      <c r="X144" s="768" t="s">
        <v>678</v>
      </c>
      <c r="Y144" s="767">
        <v>43133</v>
      </c>
      <c r="Z144" s="767">
        <v>43497</v>
      </c>
      <c r="AA144" s="772">
        <f t="shared" si="10"/>
        <v>364</v>
      </c>
      <c r="AB144" s="768" t="s">
        <v>148</v>
      </c>
      <c r="AC144" s="767">
        <f t="shared" si="11"/>
        <v>43497</v>
      </c>
      <c r="AD144" s="769" t="s">
        <v>679</v>
      </c>
      <c r="AE144" s="773" t="s">
        <v>672</v>
      </c>
      <c r="AF144" s="773"/>
      <c r="AG144" s="779"/>
      <c r="AH144" s="769"/>
      <c r="AI144" s="769"/>
      <c r="AJ144" s="774">
        <f t="shared" ca="1" si="13"/>
        <v>7.4175824175824179</v>
      </c>
      <c r="AK144" s="775"/>
      <c r="AL144" s="776" t="str">
        <f t="shared" si="12"/>
        <v>17418</v>
      </c>
    </row>
    <row r="145" spans="1:38" ht="170.25" customHeight="1" x14ac:dyDescent="0.25">
      <c r="A145" s="778">
        <v>123</v>
      </c>
      <c r="B145" s="763" t="s">
        <v>955</v>
      </c>
      <c r="C145" s="764" t="s">
        <v>956</v>
      </c>
      <c r="D145" s="765">
        <f>+COUNTIF(C:C,C:C)</f>
        <v>1</v>
      </c>
      <c r="E145" s="766" t="s">
        <v>1287</v>
      </c>
      <c r="F145" s="766">
        <v>1136879545</v>
      </c>
      <c r="G145" s="766" t="s">
        <v>1288</v>
      </c>
      <c r="H145" s="767">
        <v>43126</v>
      </c>
      <c r="I145" s="768" t="s">
        <v>957</v>
      </c>
      <c r="J145" s="769" t="s">
        <v>61</v>
      </c>
      <c r="K145" s="769" t="s">
        <v>683</v>
      </c>
      <c r="L145" s="770" t="s">
        <v>1671</v>
      </c>
      <c r="M145" s="770">
        <v>29765000</v>
      </c>
      <c r="N145" s="771"/>
      <c r="O145" s="770">
        <f t="shared" si="14"/>
        <v>29765000</v>
      </c>
      <c r="P145" s="768" t="s">
        <v>958</v>
      </c>
      <c r="Q145" s="769" t="s">
        <v>1668</v>
      </c>
      <c r="R145" s="769" t="s">
        <v>1291</v>
      </c>
      <c r="S145" s="769" t="s">
        <v>1440</v>
      </c>
      <c r="T145" s="769" t="s">
        <v>1672</v>
      </c>
      <c r="U145" s="769" t="s">
        <v>36</v>
      </c>
      <c r="V145" s="769" t="s">
        <v>36</v>
      </c>
      <c r="W145" s="769" t="s">
        <v>36</v>
      </c>
      <c r="X145" s="768" t="s">
        <v>704</v>
      </c>
      <c r="Y145" s="767">
        <v>43126</v>
      </c>
      <c r="Z145" s="767">
        <v>43276</v>
      </c>
      <c r="AA145" s="772">
        <f t="shared" si="10"/>
        <v>150</v>
      </c>
      <c r="AB145" s="768" t="s">
        <v>148</v>
      </c>
      <c r="AC145" s="767">
        <f t="shared" si="11"/>
        <v>43276</v>
      </c>
      <c r="AD145" s="769" t="s">
        <v>1673</v>
      </c>
      <c r="AE145" s="773" t="s">
        <v>840</v>
      </c>
      <c r="AF145" s="773"/>
      <c r="AG145" s="779"/>
      <c r="AH145" s="769"/>
      <c r="AI145" s="769"/>
      <c r="AJ145" s="774">
        <f t="shared" ca="1" si="13"/>
        <v>22.666666666666664</v>
      </c>
      <c r="AK145" s="775"/>
      <c r="AL145" s="776" t="str">
        <f t="shared" si="12"/>
        <v>17418</v>
      </c>
    </row>
    <row r="146" spans="1:38" ht="170.25" customHeight="1" x14ac:dyDescent="0.25">
      <c r="A146" s="778">
        <v>30</v>
      </c>
      <c r="B146" s="763" t="s">
        <v>680</v>
      </c>
      <c r="C146" s="764" t="s">
        <v>681</v>
      </c>
      <c r="D146" s="765">
        <f>+COUNTIF(C:C,C:C)</f>
        <v>1</v>
      </c>
      <c r="E146" s="766" t="s">
        <v>1647</v>
      </c>
      <c r="F146" s="766">
        <v>8999991434</v>
      </c>
      <c r="G146" s="766" t="s">
        <v>1649</v>
      </c>
      <c r="H146" s="767">
        <v>43126</v>
      </c>
      <c r="I146" s="768" t="s">
        <v>682</v>
      </c>
      <c r="J146" s="769" t="s">
        <v>173</v>
      </c>
      <c r="K146" s="769" t="s">
        <v>1243</v>
      </c>
      <c r="L146" s="770" t="s">
        <v>1660</v>
      </c>
      <c r="M146" s="770">
        <v>35000000</v>
      </c>
      <c r="N146" s="771"/>
      <c r="O146" s="770">
        <f t="shared" si="14"/>
        <v>35000000</v>
      </c>
      <c r="P146" s="768" t="s">
        <v>684</v>
      </c>
      <c r="Q146" s="769" t="s">
        <v>1674</v>
      </c>
      <c r="R146" s="769" t="s">
        <v>1321</v>
      </c>
      <c r="S146" s="769" t="s">
        <v>88</v>
      </c>
      <c r="T146" s="769" t="s">
        <v>1675</v>
      </c>
      <c r="U146" s="769" t="s">
        <v>36</v>
      </c>
      <c r="V146" s="769" t="s">
        <v>36</v>
      </c>
      <c r="W146" s="769" t="s">
        <v>36</v>
      </c>
      <c r="X146" s="768" t="s">
        <v>685</v>
      </c>
      <c r="Y146" s="767">
        <v>43126</v>
      </c>
      <c r="Z146" s="767">
        <v>43462</v>
      </c>
      <c r="AA146" s="772">
        <f t="shared" si="10"/>
        <v>336</v>
      </c>
      <c r="AB146" s="768" t="s">
        <v>148</v>
      </c>
      <c r="AC146" s="767">
        <f t="shared" si="11"/>
        <v>43462</v>
      </c>
      <c r="AD146" s="769" t="s">
        <v>686</v>
      </c>
      <c r="AE146" s="773" t="s">
        <v>672</v>
      </c>
      <c r="AF146" s="773"/>
      <c r="AG146" s="779"/>
      <c r="AH146" s="769"/>
      <c r="AI146" s="769"/>
      <c r="AJ146" s="774">
        <f t="shared" ca="1" si="13"/>
        <v>10.119047619047619</v>
      </c>
      <c r="AK146" s="775"/>
      <c r="AL146" s="776" t="str">
        <f t="shared" si="12"/>
        <v xml:space="preserve">8118 </v>
      </c>
    </row>
    <row r="147" spans="1:38" ht="170.25" customHeight="1" x14ac:dyDescent="0.25">
      <c r="A147" s="778">
        <v>217</v>
      </c>
      <c r="B147" s="763" t="s">
        <v>1217</v>
      </c>
      <c r="C147" s="764" t="s">
        <v>867</v>
      </c>
      <c r="D147" s="765">
        <f>+COUNTIF(C:C,C:C)</f>
        <v>2</v>
      </c>
      <c r="E147" s="766" t="s">
        <v>1287</v>
      </c>
      <c r="F147" s="766">
        <v>52882227</v>
      </c>
      <c r="G147" s="766" t="s">
        <v>1288</v>
      </c>
      <c r="H147" s="767">
        <v>43126</v>
      </c>
      <c r="I147" s="768" t="s">
        <v>1218</v>
      </c>
      <c r="J147" s="769" t="s">
        <v>61</v>
      </c>
      <c r="K147" s="769" t="s">
        <v>683</v>
      </c>
      <c r="L147" s="770" t="s">
        <v>1676</v>
      </c>
      <c r="M147" s="770">
        <v>33075000</v>
      </c>
      <c r="N147" s="771"/>
      <c r="O147" s="770">
        <f t="shared" si="14"/>
        <v>33075000</v>
      </c>
      <c r="P147" s="768" t="s">
        <v>1219</v>
      </c>
      <c r="Q147" s="769" t="s">
        <v>1677</v>
      </c>
      <c r="R147" s="769" t="s">
        <v>1291</v>
      </c>
      <c r="S147" s="769" t="s">
        <v>88</v>
      </c>
      <c r="T147" s="769" t="s">
        <v>1678</v>
      </c>
      <c r="U147" s="769" t="s">
        <v>36</v>
      </c>
      <c r="V147" s="769" t="s">
        <v>36</v>
      </c>
      <c r="W147" s="769" t="s">
        <v>36</v>
      </c>
      <c r="X147" s="768" t="s">
        <v>704</v>
      </c>
      <c r="Y147" s="767">
        <v>43126</v>
      </c>
      <c r="Z147" s="767">
        <v>43276</v>
      </c>
      <c r="AA147" s="772">
        <f t="shared" si="10"/>
        <v>150</v>
      </c>
      <c r="AB147" s="768" t="s">
        <v>148</v>
      </c>
      <c r="AC147" s="767">
        <f t="shared" si="11"/>
        <v>43276</v>
      </c>
      <c r="AD147" s="769" t="s">
        <v>1220</v>
      </c>
      <c r="AE147" s="773" t="s">
        <v>854</v>
      </c>
      <c r="AF147" s="773"/>
      <c r="AG147" s="779"/>
      <c r="AH147" s="769"/>
      <c r="AI147" s="769"/>
      <c r="AJ147" s="774">
        <f t="shared" ca="1" si="13"/>
        <v>22.666666666666664</v>
      </c>
      <c r="AK147" s="775"/>
      <c r="AL147" s="776" t="str">
        <f t="shared" si="12"/>
        <v>18618</v>
      </c>
    </row>
    <row r="148" spans="1:38" ht="170.25" customHeight="1" x14ac:dyDescent="0.25">
      <c r="A148" s="778">
        <v>218</v>
      </c>
      <c r="B148" s="763" t="s">
        <v>1246</v>
      </c>
      <c r="C148" s="764" t="s">
        <v>1247</v>
      </c>
      <c r="D148" s="765">
        <f>+COUNTIF(C:C,C:C)</f>
        <v>1</v>
      </c>
      <c r="E148" s="766" t="s">
        <v>1287</v>
      </c>
      <c r="F148" s="766">
        <v>1082976365</v>
      </c>
      <c r="G148" s="766" t="s">
        <v>1288</v>
      </c>
      <c r="H148" s="767">
        <v>43126</v>
      </c>
      <c r="I148" s="768" t="s">
        <v>1248</v>
      </c>
      <c r="J148" s="769" t="s">
        <v>61</v>
      </c>
      <c r="K148" s="769" t="s">
        <v>683</v>
      </c>
      <c r="L148" s="770" t="s">
        <v>1679</v>
      </c>
      <c r="M148" s="770">
        <v>13648500</v>
      </c>
      <c r="N148" s="771"/>
      <c r="O148" s="770">
        <f t="shared" si="14"/>
        <v>13648500</v>
      </c>
      <c r="P148" s="768" t="s">
        <v>1249</v>
      </c>
      <c r="Q148" s="769" t="s">
        <v>1680</v>
      </c>
      <c r="R148" s="769" t="s">
        <v>1305</v>
      </c>
      <c r="S148" s="769" t="s">
        <v>1440</v>
      </c>
      <c r="T148" s="769" t="s">
        <v>1681</v>
      </c>
      <c r="U148" s="769" t="s">
        <v>36</v>
      </c>
      <c r="V148" s="769" t="s">
        <v>36</v>
      </c>
      <c r="W148" s="769" t="s">
        <v>36</v>
      </c>
      <c r="X148" s="768" t="s">
        <v>704</v>
      </c>
      <c r="Y148" s="767">
        <v>43126</v>
      </c>
      <c r="Z148" s="767">
        <v>43276</v>
      </c>
      <c r="AA148" s="772">
        <f t="shared" si="10"/>
        <v>150</v>
      </c>
      <c r="AB148" s="768" t="s">
        <v>148</v>
      </c>
      <c r="AC148" s="767">
        <f t="shared" si="11"/>
        <v>43276</v>
      </c>
      <c r="AD148" s="769" t="s">
        <v>237</v>
      </c>
      <c r="AE148" s="773" t="s">
        <v>693</v>
      </c>
      <c r="AF148" s="773"/>
      <c r="AG148" s="779"/>
      <c r="AH148" s="769"/>
      <c r="AI148" s="769"/>
      <c r="AJ148" s="774">
        <f t="shared" ca="1" si="13"/>
        <v>22.666666666666664</v>
      </c>
      <c r="AK148" s="775"/>
      <c r="AL148" s="776" t="str">
        <f t="shared" si="12"/>
        <v>18818</v>
      </c>
    </row>
    <row r="149" spans="1:38" ht="170.25" customHeight="1" x14ac:dyDescent="0.25">
      <c r="A149" s="778" t="s">
        <v>36</v>
      </c>
      <c r="B149" s="763" t="s">
        <v>1682</v>
      </c>
      <c r="C149" s="764" t="s">
        <v>1683</v>
      </c>
      <c r="D149" s="765">
        <f>+COUNTIF(C:C,C:C)</f>
        <v>1</v>
      </c>
      <c r="E149" s="766" t="s">
        <v>1647</v>
      </c>
      <c r="F149" s="766" t="s">
        <v>1684</v>
      </c>
      <c r="G149" s="766" t="s">
        <v>1649</v>
      </c>
      <c r="H149" s="767">
        <v>43126</v>
      </c>
      <c r="I149" s="768" t="s">
        <v>1685</v>
      </c>
      <c r="J149" s="769" t="s">
        <v>1651</v>
      </c>
      <c r="K149" s="769" t="s">
        <v>1652</v>
      </c>
      <c r="L149" s="770" t="s">
        <v>36</v>
      </c>
      <c r="M149" s="770">
        <v>0</v>
      </c>
      <c r="N149" s="770" t="s">
        <v>36</v>
      </c>
      <c r="O149" s="770">
        <f t="shared" si="14"/>
        <v>0</v>
      </c>
      <c r="P149" s="770" t="s">
        <v>36</v>
      </c>
      <c r="Q149" s="770" t="s">
        <v>36</v>
      </c>
      <c r="R149" s="770" t="s">
        <v>36</v>
      </c>
      <c r="S149" s="770" t="s">
        <v>36</v>
      </c>
      <c r="T149" s="770" t="s">
        <v>36</v>
      </c>
      <c r="U149" s="769" t="s">
        <v>36</v>
      </c>
      <c r="V149" s="769" t="s">
        <v>36</v>
      </c>
      <c r="W149" s="769" t="s">
        <v>36</v>
      </c>
      <c r="X149" s="770" t="s">
        <v>1686</v>
      </c>
      <c r="Y149" s="767">
        <v>43126</v>
      </c>
      <c r="Z149" s="767">
        <v>44007</v>
      </c>
      <c r="AA149" s="772">
        <f t="shared" si="10"/>
        <v>881</v>
      </c>
      <c r="AB149" s="768" t="s">
        <v>148</v>
      </c>
      <c r="AC149" s="767">
        <f t="shared" si="11"/>
        <v>44007</v>
      </c>
      <c r="AD149" s="770" t="s">
        <v>1033</v>
      </c>
      <c r="AE149" s="773" t="s">
        <v>834</v>
      </c>
      <c r="AF149" s="773"/>
      <c r="AG149" s="779"/>
      <c r="AH149" s="769"/>
      <c r="AI149" s="769"/>
      <c r="AJ149" s="774">
        <f t="shared" ca="1" si="13"/>
        <v>3.859250851305335</v>
      </c>
      <c r="AK149" s="775"/>
      <c r="AL149" s="776" t="str">
        <f t="shared" si="12"/>
        <v>N/A</v>
      </c>
    </row>
    <row r="150" spans="1:38" ht="170.25" customHeight="1" x14ac:dyDescent="0.25">
      <c r="A150" s="778" t="s">
        <v>36</v>
      </c>
      <c r="B150" s="763" t="s">
        <v>1687</v>
      </c>
      <c r="C150" s="764" t="s">
        <v>1688</v>
      </c>
      <c r="D150" s="765">
        <f>+COUNTIF(C:C,C:C)</f>
        <v>1</v>
      </c>
      <c r="E150" s="766" t="s">
        <v>1647</v>
      </c>
      <c r="F150" s="766" t="s">
        <v>1689</v>
      </c>
      <c r="G150" s="766" t="s">
        <v>1649</v>
      </c>
      <c r="H150" s="767">
        <v>43126</v>
      </c>
      <c r="I150" s="768" t="s">
        <v>1690</v>
      </c>
      <c r="J150" s="769" t="s">
        <v>1651</v>
      </c>
      <c r="K150" s="769" t="s">
        <v>1652</v>
      </c>
      <c r="L150" s="770" t="s">
        <v>36</v>
      </c>
      <c r="M150" s="770">
        <v>0</v>
      </c>
      <c r="N150" s="771"/>
      <c r="O150" s="770">
        <f t="shared" si="14"/>
        <v>0</v>
      </c>
      <c r="P150" s="770" t="s">
        <v>36</v>
      </c>
      <c r="Q150" s="770" t="s">
        <v>36</v>
      </c>
      <c r="R150" s="770" t="s">
        <v>36</v>
      </c>
      <c r="S150" s="770" t="s">
        <v>36</v>
      </c>
      <c r="T150" s="770" t="s">
        <v>36</v>
      </c>
      <c r="U150" s="769" t="s">
        <v>36</v>
      </c>
      <c r="V150" s="769" t="s">
        <v>36</v>
      </c>
      <c r="W150" s="769" t="s">
        <v>36</v>
      </c>
      <c r="X150" s="768" t="s">
        <v>1691</v>
      </c>
      <c r="Y150" s="767">
        <v>43126</v>
      </c>
      <c r="Z150" s="767">
        <v>43490</v>
      </c>
      <c r="AA150" s="772">
        <f t="shared" si="10"/>
        <v>364</v>
      </c>
      <c r="AB150" s="768" t="s">
        <v>148</v>
      </c>
      <c r="AC150" s="767">
        <f t="shared" si="11"/>
        <v>43490</v>
      </c>
      <c r="AD150" s="769" t="s">
        <v>686</v>
      </c>
      <c r="AE150" s="773" t="s">
        <v>672</v>
      </c>
      <c r="AF150" s="773"/>
      <c r="AG150" s="779"/>
      <c r="AH150" s="769"/>
      <c r="AI150" s="769"/>
      <c r="AJ150" s="774">
        <f t="shared" ca="1" si="13"/>
        <v>9.3406593406593412</v>
      </c>
      <c r="AK150" s="775"/>
      <c r="AL150" s="776" t="str">
        <f t="shared" si="12"/>
        <v>N/A</v>
      </c>
    </row>
    <row r="151" spans="1:38" ht="170.25" customHeight="1" x14ac:dyDescent="0.25">
      <c r="A151" s="778">
        <v>198</v>
      </c>
      <c r="B151" s="763" t="s">
        <v>1692</v>
      </c>
      <c r="C151" s="764" t="s">
        <v>1236</v>
      </c>
      <c r="D151" s="765">
        <f>+COUNTIF(C:C,C:C)</f>
        <v>1</v>
      </c>
      <c r="E151" s="766" t="s">
        <v>1647</v>
      </c>
      <c r="F151" s="766" t="s">
        <v>1693</v>
      </c>
      <c r="G151" s="766" t="s">
        <v>1649</v>
      </c>
      <c r="H151" s="767">
        <v>43126</v>
      </c>
      <c r="I151" s="768" t="s">
        <v>1237</v>
      </c>
      <c r="J151" s="769" t="s">
        <v>61</v>
      </c>
      <c r="K151" s="769" t="s">
        <v>1238</v>
      </c>
      <c r="L151" s="770" t="s">
        <v>1694</v>
      </c>
      <c r="M151" s="770">
        <v>1562484</v>
      </c>
      <c r="N151" s="771"/>
      <c r="O151" s="770">
        <f t="shared" si="14"/>
        <v>1562484</v>
      </c>
      <c r="P151" s="770" t="s">
        <v>36</v>
      </c>
      <c r="Q151" s="770" t="s">
        <v>36</v>
      </c>
      <c r="R151" s="770" t="s">
        <v>36</v>
      </c>
      <c r="S151" s="770" t="s">
        <v>36</v>
      </c>
      <c r="T151" s="770" t="s">
        <v>36</v>
      </c>
      <c r="U151" s="769" t="s">
        <v>36</v>
      </c>
      <c r="V151" s="769" t="s">
        <v>36</v>
      </c>
      <c r="W151" s="769" t="s">
        <v>36</v>
      </c>
      <c r="X151" s="768" t="s">
        <v>1239</v>
      </c>
      <c r="Y151" s="767">
        <v>43126</v>
      </c>
      <c r="Z151" s="767">
        <v>43490</v>
      </c>
      <c r="AA151" s="772">
        <f t="shared" si="10"/>
        <v>364</v>
      </c>
      <c r="AB151" s="768" t="s">
        <v>148</v>
      </c>
      <c r="AC151" s="767">
        <f t="shared" si="11"/>
        <v>43490</v>
      </c>
      <c r="AD151" s="769" t="s">
        <v>686</v>
      </c>
      <c r="AE151" s="773" t="s">
        <v>672</v>
      </c>
      <c r="AF151" s="773"/>
      <c r="AG151" s="779"/>
      <c r="AH151" s="769"/>
      <c r="AI151" s="769"/>
      <c r="AJ151" s="774">
        <f t="shared" ca="1" si="13"/>
        <v>9.3406593406593412</v>
      </c>
      <c r="AK151" s="775"/>
      <c r="AL151" s="776" t="str">
        <f t="shared" si="12"/>
        <v>N/A</v>
      </c>
    </row>
    <row r="152" spans="1:38" ht="170.25" customHeight="1" x14ac:dyDescent="0.25">
      <c r="A152" s="778">
        <v>10</v>
      </c>
      <c r="B152" s="763" t="s">
        <v>1256</v>
      </c>
      <c r="C152" s="764" t="s">
        <v>1257</v>
      </c>
      <c r="D152" s="765">
        <f>+COUNTIF(C:C,C:C)</f>
        <v>1</v>
      </c>
      <c r="E152" s="766" t="s">
        <v>1647</v>
      </c>
      <c r="F152" s="766">
        <v>860002400</v>
      </c>
      <c r="G152" s="766" t="s">
        <v>1649</v>
      </c>
      <c r="H152" s="767">
        <v>43132</v>
      </c>
      <c r="I152" s="768" t="s">
        <v>1258</v>
      </c>
      <c r="J152" s="769" t="s">
        <v>173</v>
      </c>
      <c r="K152" s="769" t="s">
        <v>1243</v>
      </c>
      <c r="L152" s="770" t="s">
        <v>1421</v>
      </c>
      <c r="M152" s="770">
        <v>4130593</v>
      </c>
      <c r="N152" s="771"/>
      <c r="O152" s="770">
        <f t="shared" si="14"/>
        <v>4130593</v>
      </c>
      <c r="P152" s="768" t="s">
        <v>1259</v>
      </c>
      <c r="Q152" s="769" t="s">
        <v>1695</v>
      </c>
      <c r="R152" s="769" t="s">
        <v>1321</v>
      </c>
      <c r="S152" s="769" t="s">
        <v>88</v>
      </c>
      <c r="T152" s="769" t="s">
        <v>1696</v>
      </c>
      <c r="U152" s="769" t="s">
        <v>36</v>
      </c>
      <c r="V152" s="769" t="s">
        <v>36</v>
      </c>
      <c r="W152" s="769" t="s">
        <v>36</v>
      </c>
      <c r="X152" s="768" t="s">
        <v>1260</v>
      </c>
      <c r="Y152" s="767">
        <v>43132</v>
      </c>
      <c r="Z152" s="767">
        <v>43465</v>
      </c>
      <c r="AA152" s="772">
        <f t="shared" si="10"/>
        <v>333</v>
      </c>
      <c r="AB152" s="768" t="s">
        <v>148</v>
      </c>
      <c r="AC152" s="767">
        <f t="shared" si="11"/>
        <v>43465</v>
      </c>
      <c r="AD152" s="769" t="s">
        <v>671</v>
      </c>
      <c r="AE152" s="773" t="s">
        <v>672</v>
      </c>
      <c r="AF152" s="773"/>
      <c r="AG152" s="779"/>
      <c r="AH152" s="769"/>
      <c r="AI152" s="769"/>
      <c r="AJ152" s="774">
        <f t="shared" ca="1" si="13"/>
        <v>8.408408408408409</v>
      </c>
      <c r="AK152" s="775"/>
      <c r="AL152" s="776" t="str">
        <f t="shared" si="12"/>
        <v xml:space="preserve">8718 </v>
      </c>
    </row>
    <row r="153" spans="1:38" ht="170.25" customHeight="1" x14ac:dyDescent="0.25">
      <c r="A153" s="778">
        <v>213</v>
      </c>
      <c r="B153" s="763" t="s">
        <v>1240</v>
      </c>
      <c r="C153" s="764" t="s">
        <v>1241</v>
      </c>
      <c r="D153" s="765">
        <f>+COUNTIF(C:C,C:C)</f>
        <v>1</v>
      </c>
      <c r="E153" s="766" t="s">
        <v>1647</v>
      </c>
      <c r="F153" s="766">
        <v>8000750036</v>
      </c>
      <c r="G153" s="766" t="s">
        <v>1649</v>
      </c>
      <c r="H153" s="767">
        <v>43139</v>
      </c>
      <c r="I153" s="768" t="s">
        <v>1242</v>
      </c>
      <c r="J153" s="769" t="s">
        <v>173</v>
      </c>
      <c r="K153" s="769" t="s">
        <v>1243</v>
      </c>
      <c r="L153" s="770" t="s">
        <v>1421</v>
      </c>
      <c r="M153" s="770">
        <v>438000000</v>
      </c>
      <c r="N153" s="771"/>
      <c r="O153" s="770">
        <f t="shared" si="14"/>
        <v>438000000</v>
      </c>
      <c r="P153" s="768" t="s">
        <v>1244</v>
      </c>
      <c r="Q153" s="769" t="s">
        <v>1697</v>
      </c>
      <c r="R153" s="769" t="s">
        <v>1305</v>
      </c>
      <c r="S153" s="769" t="s">
        <v>1440</v>
      </c>
      <c r="T153" s="769" t="s">
        <v>1698</v>
      </c>
      <c r="U153" s="769" t="s">
        <v>36</v>
      </c>
      <c r="V153" s="769" t="s">
        <v>36</v>
      </c>
      <c r="W153" s="769" t="s">
        <v>36</v>
      </c>
      <c r="X153" s="768" t="s">
        <v>1245</v>
      </c>
      <c r="Y153" s="767">
        <v>43139</v>
      </c>
      <c r="Z153" s="767">
        <v>43462</v>
      </c>
      <c r="AA153" s="772">
        <f t="shared" si="10"/>
        <v>323</v>
      </c>
      <c r="AB153" s="768" t="s">
        <v>148</v>
      </c>
      <c r="AC153" s="767">
        <f t="shared" si="11"/>
        <v>43462</v>
      </c>
      <c r="AD153" s="769" t="s">
        <v>833</v>
      </c>
      <c r="AE153" s="773" t="s">
        <v>834</v>
      </c>
      <c r="AF153" s="773"/>
      <c r="AG153" s="779"/>
      <c r="AH153" s="769"/>
      <c r="AI153" s="769"/>
      <c r="AJ153" s="774">
        <f t="shared" ca="1" si="13"/>
        <v>6.5015479876160995</v>
      </c>
      <c r="AK153" s="775"/>
      <c r="AL153" s="776" t="str">
        <f t="shared" si="12"/>
        <v>18318</v>
      </c>
    </row>
    <row r="154" spans="1:38" ht="170.25" customHeight="1" x14ac:dyDescent="0.25">
      <c r="A154" s="778">
        <v>50</v>
      </c>
      <c r="B154" s="763" t="s">
        <v>1250</v>
      </c>
      <c r="C154" s="764" t="s">
        <v>1251</v>
      </c>
      <c r="D154" s="765">
        <f>+COUNTIF(C:C,C:C)</f>
        <v>1</v>
      </c>
      <c r="E154" s="766" t="s">
        <v>1647</v>
      </c>
      <c r="F154" s="766" t="s">
        <v>1699</v>
      </c>
      <c r="G154" s="766" t="s">
        <v>1649</v>
      </c>
      <c r="H154" s="767">
        <v>43145</v>
      </c>
      <c r="I154" s="768" t="s">
        <v>1252</v>
      </c>
      <c r="J154" s="769" t="s">
        <v>1700</v>
      </c>
      <c r="K154" s="769" t="s">
        <v>668</v>
      </c>
      <c r="L154" s="770" t="s">
        <v>1701</v>
      </c>
      <c r="M154" s="770">
        <v>2168614</v>
      </c>
      <c r="N154" s="771"/>
      <c r="O154" s="770">
        <f t="shared" si="14"/>
        <v>2168614</v>
      </c>
      <c r="P154" s="768" t="s">
        <v>1253</v>
      </c>
      <c r="Q154" s="769" t="s">
        <v>1702</v>
      </c>
      <c r="R154" s="769" t="s">
        <v>1321</v>
      </c>
      <c r="S154" s="769" t="s">
        <v>88</v>
      </c>
      <c r="T154" s="769" t="s">
        <v>1703</v>
      </c>
      <c r="U154" s="784"/>
      <c r="V154" s="784"/>
      <c r="W154" s="784"/>
      <c r="X154" s="768" t="s">
        <v>1254</v>
      </c>
      <c r="Y154" s="767">
        <v>43146</v>
      </c>
      <c r="Z154" s="767">
        <v>43462</v>
      </c>
      <c r="AA154" s="772">
        <f t="shared" si="10"/>
        <v>316</v>
      </c>
      <c r="AB154" s="768" t="s">
        <v>148</v>
      </c>
      <c r="AC154" s="767">
        <f t="shared" si="11"/>
        <v>43462</v>
      </c>
      <c r="AD154" s="769" t="s">
        <v>1255</v>
      </c>
      <c r="AE154" s="773" t="s">
        <v>901</v>
      </c>
      <c r="AF154" s="773"/>
      <c r="AG154" s="779"/>
      <c r="AH154" s="769"/>
      <c r="AI154" s="769"/>
      <c r="AJ154" s="774">
        <f t="shared" ca="1" si="13"/>
        <v>4.4303797468354427</v>
      </c>
      <c r="AK154" s="775"/>
      <c r="AL154" s="776" t="str">
        <f t="shared" si="12"/>
        <v>18418</v>
      </c>
    </row>
    <row r="155" spans="1:38" ht="228" customHeight="1" x14ac:dyDescent="0.25">
      <c r="A155" s="778">
        <v>52</v>
      </c>
      <c r="B155" s="763" t="s">
        <v>1261</v>
      </c>
      <c r="C155" s="764" t="s">
        <v>1262</v>
      </c>
      <c r="D155" s="765">
        <f>+COUNTIF(C:C,C:C)</f>
        <v>1</v>
      </c>
      <c r="E155" s="766" t="s">
        <v>1647</v>
      </c>
      <c r="F155" s="766">
        <v>900884399</v>
      </c>
      <c r="G155" s="766" t="s">
        <v>1649</v>
      </c>
      <c r="H155" s="767">
        <v>43147</v>
      </c>
      <c r="I155" s="768" t="s">
        <v>1263</v>
      </c>
      <c r="J155" s="769" t="s">
        <v>173</v>
      </c>
      <c r="K155" s="769" t="s">
        <v>676</v>
      </c>
      <c r="L155" s="770" t="s">
        <v>1704</v>
      </c>
      <c r="M155" s="770">
        <v>222359431.53</v>
      </c>
      <c r="N155" s="771"/>
      <c r="O155" s="770">
        <f t="shared" si="14"/>
        <v>222359431.53</v>
      </c>
      <c r="P155" s="768" t="s">
        <v>1264</v>
      </c>
      <c r="Q155" s="769" t="s">
        <v>1705</v>
      </c>
      <c r="R155" s="769" t="s">
        <v>422</v>
      </c>
      <c r="S155" s="769" t="s">
        <v>88</v>
      </c>
      <c r="T155" s="769" t="s">
        <v>1706</v>
      </c>
      <c r="U155" s="769" t="s">
        <v>36</v>
      </c>
      <c r="V155" s="769" t="s">
        <v>36</v>
      </c>
      <c r="W155" s="769" t="s">
        <v>36</v>
      </c>
      <c r="X155" s="768" t="s">
        <v>1265</v>
      </c>
      <c r="Y155" s="767">
        <v>43147</v>
      </c>
      <c r="Z155" s="767">
        <v>43511</v>
      </c>
      <c r="AA155" s="772">
        <f t="shared" si="10"/>
        <v>364</v>
      </c>
      <c r="AB155" s="768" t="s">
        <v>148</v>
      </c>
      <c r="AC155" s="767">
        <f t="shared" si="11"/>
        <v>43511</v>
      </c>
      <c r="AD155" s="769" t="s">
        <v>900</v>
      </c>
      <c r="AE155" s="773" t="s">
        <v>901</v>
      </c>
      <c r="AF155" s="773"/>
      <c r="AG155" s="779"/>
      <c r="AH155" s="769"/>
      <c r="AI155" s="769"/>
      <c r="AJ155" s="774">
        <f t="shared" ca="1" si="13"/>
        <v>3.5714285714285712</v>
      </c>
      <c r="AK155" s="775"/>
      <c r="AL155" s="776" t="str">
        <f t="shared" si="12"/>
        <v>19018</v>
      </c>
    </row>
  </sheetData>
  <autoFilter ref="A1:CU155"/>
  <dataConsolidate/>
  <pageMargins left="0.31496062992125984" right="0.31496062992125984" top="0.3543307086614173" bottom="0.3543307086614173" header="0.31496062992125984" footer="0.31496062992125984"/>
  <pageSetup paperSize="5" scale="10" orientation="landscape" r:id="rId1"/>
  <colBreaks count="1" manualBreakCount="1">
    <brk id="36" max="1048575" man="1"/>
  </col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[4]LISTAS!#REF!</xm:f>
          </x14:formula1>
          <xm:sqref>AE2:AE90 AE92:AE155</xm:sqref>
        </x14:dataValidation>
        <x14:dataValidation type="list" allowBlank="1" showInputMessage="1" showErrorMessage="1">
          <x14:formula1>
            <xm:f>[4]LISTAS!#REF!</xm:f>
          </x14:formula1>
          <xm:sqref>G2:G90 G92:G155 K141 K45:K46 K99 K101 K107 K110:K111 R92:S137 R139:S148 R2:S90 R152:S155 J2:J3 E2:E155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M194"/>
  <sheetViews>
    <sheetView topLeftCell="A16" zoomScale="46" zoomScaleNormal="46" workbookViewId="0">
      <pane xSplit="1" ySplit="4" topLeftCell="B139" activePane="bottomRight" state="frozen"/>
      <selection activeCell="A16" sqref="A16"/>
      <selection pane="topRight" activeCell="B16" sqref="B16"/>
      <selection pane="bottomLeft" activeCell="A20" sqref="A20"/>
      <selection pane="bottomRight" activeCell="D208" sqref="D208"/>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15.42578125" customWidth="1"/>
    <col min="7" max="7" width="29.85546875" customWidth="1"/>
    <col min="8" max="8" width="27" customWidth="1"/>
    <col min="9" max="9" width="39.85546875" customWidth="1"/>
    <col min="10" max="10" width="39.140625" customWidth="1"/>
    <col min="11" max="11" width="72.5703125" customWidth="1"/>
    <col min="12" max="12" width="51.140625" customWidth="1"/>
    <col min="13" max="13" width="48.42578125" customWidth="1"/>
    <col min="14" max="14" width="17.42578125" customWidth="1"/>
    <col min="15" max="15" width="27" customWidth="1"/>
    <col min="16" max="16" width="53.5703125" customWidth="1"/>
    <col min="17" max="17" width="5.7109375" customWidth="1"/>
    <col min="18" max="18" width="23.42578125" style="621" customWidth="1"/>
    <col min="19" max="19" width="20" customWidth="1"/>
    <col min="20" max="20" width="39.28515625" customWidth="1"/>
    <col min="21" max="21" width="20.5703125" customWidth="1"/>
    <col min="22" max="23" width="20.140625" customWidth="1"/>
    <col min="24" max="24" width="52.140625" customWidth="1"/>
    <col min="25" max="25" width="41.7109375" customWidth="1"/>
    <col min="26" max="26" width="50.85546875" customWidth="1"/>
    <col min="27" max="27" width="65.42578125" customWidth="1"/>
    <col min="28" max="28" width="94.85546875" customWidth="1"/>
    <col min="29" max="34" width="0" hidden="1" customWidth="1"/>
    <col min="35" max="35" width="43.42578125" customWidth="1"/>
    <col min="36" max="36" width="24.5703125" customWidth="1"/>
    <col min="37" max="37" width="25.42578125" customWidth="1"/>
    <col min="38" max="38" width="24" customWidth="1"/>
    <col min="39" max="39" width="90.85546875" customWidth="1"/>
  </cols>
  <sheetData>
    <row r="1" spans="1:39" ht="26.25" x14ac:dyDescent="0.4">
      <c r="A1" s="91"/>
      <c r="B1" s="53"/>
      <c r="C1" s="2"/>
      <c r="D1" s="17"/>
      <c r="E1" s="2"/>
      <c r="F1" s="2"/>
      <c r="G1" s="2"/>
      <c r="H1" s="2"/>
      <c r="I1" s="2"/>
      <c r="J1" s="76"/>
      <c r="K1" s="2"/>
      <c r="L1" s="72"/>
      <c r="M1" s="8"/>
      <c r="N1" s="2"/>
      <c r="O1" s="2"/>
      <c r="P1" s="2"/>
      <c r="Q1" s="100"/>
      <c r="R1" s="616"/>
      <c r="S1" s="3"/>
      <c r="T1" s="90"/>
      <c r="U1" s="4"/>
      <c r="V1" s="3"/>
      <c r="W1" s="3"/>
      <c r="X1" s="3"/>
      <c r="Y1" s="54"/>
      <c r="Z1" s="3"/>
      <c r="AA1" s="51"/>
      <c r="AB1" s="3"/>
      <c r="AC1" s="3"/>
      <c r="AD1" s="3"/>
      <c r="AE1" s="3"/>
      <c r="AF1" s="3"/>
      <c r="AG1" s="3"/>
      <c r="AH1" s="3"/>
      <c r="AI1" s="3"/>
      <c r="AJ1" s="3"/>
      <c r="AK1" s="3"/>
      <c r="AL1" s="3"/>
      <c r="AM1" s="18"/>
    </row>
    <row r="2" spans="1:39" ht="26.25" x14ac:dyDescent="0.4">
      <c r="A2" s="92"/>
      <c r="B2" s="809" t="s">
        <v>437</v>
      </c>
      <c r="C2" s="809"/>
      <c r="D2" s="809"/>
      <c r="E2" s="809"/>
      <c r="F2" s="809"/>
      <c r="G2" s="809"/>
      <c r="H2" s="809"/>
      <c r="I2" s="809"/>
      <c r="J2" s="809"/>
      <c r="K2" s="809"/>
      <c r="L2" s="809"/>
      <c r="M2" s="809"/>
      <c r="N2" s="809"/>
      <c r="O2" s="809"/>
      <c r="P2" s="809"/>
      <c r="Q2" s="101"/>
      <c r="R2" s="617"/>
      <c r="S2" s="3"/>
      <c r="T2" s="90"/>
      <c r="U2" s="4"/>
      <c r="V2" s="3"/>
      <c r="W2" s="3"/>
      <c r="X2" s="3"/>
      <c r="Y2" s="54"/>
      <c r="Z2" s="3"/>
      <c r="AA2" s="51"/>
      <c r="AB2" s="3"/>
      <c r="AC2" s="3"/>
      <c r="AD2" s="3"/>
      <c r="AE2" s="3"/>
      <c r="AF2" s="3"/>
      <c r="AG2" s="3"/>
      <c r="AH2" s="3"/>
      <c r="AI2" s="3"/>
      <c r="AJ2" s="3"/>
      <c r="AK2" s="3"/>
      <c r="AL2" s="3"/>
      <c r="AM2" s="18"/>
    </row>
    <row r="3" spans="1:39" ht="26.25" x14ac:dyDescent="0.4">
      <c r="A3" s="91"/>
      <c r="B3" s="53"/>
      <c r="C3" s="40"/>
      <c r="D3" s="19"/>
      <c r="E3" s="2"/>
      <c r="F3" s="2"/>
      <c r="G3" s="2"/>
      <c r="H3" s="2"/>
      <c r="I3" s="2"/>
      <c r="J3" s="76"/>
      <c r="K3" s="2"/>
      <c r="L3" s="72"/>
      <c r="M3" s="8"/>
      <c r="N3" s="2"/>
      <c r="O3" s="2"/>
      <c r="P3" s="2"/>
      <c r="Q3" s="100"/>
      <c r="R3" s="616"/>
      <c r="S3" s="3"/>
      <c r="T3" s="90"/>
      <c r="U3" s="4"/>
      <c r="V3" s="3"/>
      <c r="W3" s="3"/>
      <c r="X3" s="3"/>
      <c r="Y3" s="54"/>
      <c r="Z3" s="3"/>
      <c r="AA3" s="51"/>
      <c r="AB3" s="3"/>
      <c r="AC3" s="3"/>
      <c r="AD3" s="3"/>
      <c r="AE3" s="3"/>
      <c r="AF3" s="3"/>
      <c r="AG3" s="3"/>
      <c r="AH3" s="3"/>
      <c r="AI3" s="3"/>
      <c r="AJ3" s="3"/>
      <c r="AK3" s="3"/>
      <c r="AL3" s="3"/>
      <c r="AM3" s="18"/>
    </row>
    <row r="4" spans="1:39" ht="26.25" x14ac:dyDescent="0.4">
      <c r="A4" s="91"/>
      <c r="B4" s="53"/>
      <c r="C4" s="810" t="s">
        <v>0</v>
      </c>
      <c r="D4" s="810"/>
      <c r="E4" s="2"/>
      <c r="F4" s="2"/>
      <c r="G4" s="2"/>
      <c r="H4" s="2"/>
      <c r="I4" s="2"/>
      <c r="J4" s="76"/>
      <c r="K4" s="2"/>
      <c r="L4" s="72"/>
      <c r="M4" s="8"/>
      <c r="N4" s="2"/>
      <c r="O4" s="2"/>
      <c r="P4" s="2"/>
      <c r="Q4" s="100"/>
      <c r="R4" s="616"/>
      <c r="S4" s="3"/>
      <c r="T4" s="90"/>
      <c r="U4" s="4"/>
      <c r="V4" s="3"/>
      <c r="W4" s="3"/>
      <c r="X4" s="3"/>
      <c r="Y4" s="54"/>
      <c r="Z4" s="3"/>
      <c r="AA4" s="51"/>
      <c r="AB4" s="3"/>
      <c r="AC4" s="3"/>
      <c r="AD4" s="3"/>
      <c r="AE4" s="3"/>
      <c r="AF4" s="3"/>
      <c r="AG4" s="3"/>
      <c r="AH4" s="3"/>
      <c r="AI4" s="3"/>
      <c r="AJ4" s="3"/>
      <c r="AK4" s="3"/>
      <c r="AL4" s="3"/>
      <c r="AM4" s="18"/>
    </row>
    <row r="5" spans="1:39" ht="26.25" x14ac:dyDescent="0.4">
      <c r="A5" s="93"/>
      <c r="B5" s="81"/>
      <c r="C5" s="78" t="s">
        <v>1</v>
      </c>
      <c r="D5" s="811" t="s">
        <v>2</v>
      </c>
      <c r="E5" s="811"/>
      <c r="F5" s="2"/>
      <c r="G5" s="5"/>
      <c r="H5" s="5"/>
      <c r="I5" s="812" t="s">
        <v>276</v>
      </c>
      <c r="J5" s="812"/>
      <c r="K5" s="812"/>
      <c r="L5" s="812"/>
      <c r="M5" s="812"/>
      <c r="N5" s="5"/>
      <c r="O5" s="5"/>
      <c r="P5" s="5"/>
      <c r="Q5" s="102"/>
      <c r="R5" s="618"/>
      <c r="S5" s="3"/>
      <c r="T5" s="90"/>
      <c r="U5" s="4"/>
      <c r="V5" s="3"/>
      <c r="W5" s="3"/>
      <c r="X5" s="3"/>
      <c r="Y5" s="54"/>
      <c r="Z5" s="3"/>
      <c r="AA5" s="51"/>
      <c r="AB5" s="3"/>
      <c r="AC5" s="3"/>
      <c r="AD5" s="3"/>
      <c r="AE5" s="3"/>
      <c r="AF5" s="3"/>
      <c r="AG5" s="3"/>
      <c r="AH5" s="3"/>
      <c r="AI5" s="3"/>
      <c r="AJ5" s="3"/>
      <c r="AK5" s="3"/>
      <c r="AL5" s="3"/>
      <c r="AM5" s="18"/>
    </row>
    <row r="6" spans="1:39" ht="26.25" x14ac:dyDescent="0.4">
      <c r="A6" s="93"/>
      <c r="B6" s="81"/>
      <c r="C6" s="43" t="s">
        <v>3</v>
      </c>
      <c r="D6" s="811" t="s">
        <v>4</v>
      </c>
      <c r="E6" s="811"/>
      <c r="F6" s="2"/>
      <c r="G6" s="5"/>
      <c r="H6" s="5"/>
      <c r="I6" s="812"/>
      <c r="J6" s="812"/>
      <c r="K6" s="812"/>
      <c r="L6" s="812"/>
      <c r="M6" s="812"/>
      <c r="N6" s="5"/>
      <c r="O6" s="5"/>
      <c r="P6" s="5"/>
      <c r="Q6" s="102"/>
      <c r="R6" s="618"/>
      <c r="S6" s="3"/>
      <c r="T6" s="90"/>
      <c r="U6" s="4"/>
      <c r="V6" s="3"/>
      <c r="W6" s="3"/>
      <c r="X6" s="3"/>
      <c r="Y6" s="54"/>
      <c r="Z6" s="3"/>
      <c r="AA6" s="51"/>
      <c r="AB6" s="3"/>
      <c r="AC6" s="3"/>
      <c r="AD6" s="3"/>
      <c r="AE6" s="3"/>
      <c r="AF6" s="3"/>
      <c r="AG6" s="3"/>
      <c r="AH6" s="3"/>
      <c r="AI6" s="3"/>
      <c r="AJ6" s="3"/>
      <c r="AK6" s="3"/>
      <c r="AL6" s="3"/>
      <c r="AM6" s="18"/>
    </row>
    <row r="7" spans="1:39" ht="26.25" x14ac:dyDescent="0.4">
      <c r="A7" s="93"/>
      <c r="B7" s="81"/>
      <c r="C7" s="43" t="s">
        <v>5</v>
      </c>
      <c r="D7" s="813">
        <v>7395656</v>
      </c>
      <c r="E7" s="813"/>
      <c r="F7" s="11"/>
      <c r="G7" s="5"/>
      <c r="H7" s="5"/>
      <c r="I7" s="812"/>
      <c r="J7" s="812"/>
      <c r="K7" s="812"/>
      <c r="L7" s="812"/>
      <c r="M7" s="812"/>
      <c r="N7" s="5"/>
      <c r="O7" s="5"/>
      <c r="P7" s="5"/>
      <c r="Q7" s="102"/>
      <c r="R7" s="618"/>
      <c r="S7" s="3"/>
      <c r="T7" s="90"/>
      <c r="U7" s="4" t="s">
        <v>148</v>
      </c>
      <c r="V7" s="3"/>
      <c r="W7" s="3"/>
      <c r="X7" s="3"/>
      <c r="Y7" s="54"/>
      <c r="Z7" s="3"/>
      <c r="AA7" s="51"/>
      <c r="AB7" s="3"/>
      <c r="AC7" s="3"/>
      <c r="AD7" s="3"/>
      <c r="AE7" s="3"/>
      <c r="AF7" s="3"/>
      <c r="AG7" s="3"/>
      <c r="AH7" s="3"/>
      <c r="AI7" s="3"/>
      <c r="AJ7" s="3"/>
      <c r="AK7" s="3"/>
      <c r="AL7" s="3"/>
      <c r="AM7" s="18"/>
    </row>
    <row r="8" spans="1:39" ht="39" customHeight="1" x14ac:dyDescent="0.4">
      <c r="A8" s="93"/>
      <c r="B8" s="81"/>
      <c r="C8" s="43" t="s">
        <v>6</v>
      </c>
      <c r="D8" s="814" t="s">
        <v>47</v>
      </c>
      <c r="E8" s="814"/>
      <c r="F8" s="12"/>
      <c r="G8" s="5"/>
      <c r="H8" s="5"/>
      <c r="I8" s="812"/>
      <c r="J8" s="812"/>
      <c r="K8" s="812"/>
      <c r="L8" s="812"/>
      <c r="M8" s="812"/>
      <c r="N8" s="5"/>
      <c r="O8" s="5"/>
      <c r="P8" s="5"/>
      <c r="Q8" s="102"/>
      <c r="R8" s="618"/>
      <c r="S8" s="3"/>
      <c r="T8" s="90"/>
      <c r="U8" s="4"/>
      <c r="V8" s="3"/>
      <c r="W8" s="3"/>
      <c r="X8" s="3"/>
      <c r="Y8" s="54"/>
      <c r="Z8" s="3"/>
      <c r="AA8" s="51"/>
      <c r="AB8" s="3"/>
      <c r="AC8" s="3"/>
      <c r="AD8" s="3"/>
      <c r="AE8" s="3"/>
      <c r="AF8" s="3"/>
      <c r="AG8" s="3"/>
      <c r="AH8" s="3"/>
      <c r="AI8" s="3"/>
      <c r="AJ8" s="3"/>
      <c r="AK8" s="3"/>
      <c r="AL8" s="3"/>
      <c r="AM8" s="18"/>
    </row>
    <row r="9" spans="1:39" ht="78" customHeight="1" x14ac:dyDescent="0.4">
      <c r="A9" s="93"/>
      <c r="B9" s="81"/>
      <c r="C9" s="43" t="s">
        <v>7</v>
      </c>
      <c r="D9" s="811" t="s">
        <v>438</v>
      </c>
      <c r="E9" s="811"/>
      <c r="F9" s="2"/>
      <c r="G9" s="5"/>
      <c r="H9" s="5"/>
      <c r="I9" s="812"/>
      <c r="J9" s="812"/>
      <c r="K9" s="812"/>
      <c r="L9" s="812"/>
      <c r="M9" s="812"/>
      <c r="N9" s="5"/>
      <c r="O9" s="5"/>
      <c r="P9" s="5"/>
      <c r="Q9" s="102"/>
      <c r="R9" s="618"/>
      <c r="S9" s="3"/>
      <c r="T9" s="90"/>
      <c r="U9" s="4"/>
      <c r="V9" s="3"/>
      <c r="W9" s="3"/>
      <c r="X9" s="3"/>
      <c r="Y9" s="54"/>
      <c r="Z9" s="3"/>
      <c r="AA9" s="51"/>
      <c r="AB9" s="3"/>
      <c r="AC9" s="3"/>
      <c r="AD9" s="3"/>
      <c r="AE9" s="3"/>
      <c r="AF9" s="3"/>
      <c r="AG9" s="3"/>
      <c r="AH9" s="3"/>
      <c r="AI9" s="3"/>
      <c r="AJ9" s="3"/>
      <c r="AK9" s="3"/>
      <c r="AL9" s="3"/>
      <c r="AM9" s="18"/>
    </row>
    <row r="10" spans="1:39" ht="84.6" customHeight="1" x14ac:dyDescent="0.4">
      <c r="A10" s="93"/>
      <c r="B10" s="81"/>
      <c r="C10" s="43" t="s">
        <v>8</v>
      </c>
      <c r="D10" s="819" t="s">
        <v>9</v>
      </c>
      <c r="E10" s="819"/>
      <c r="F10" s="1"/>
      <c r="G10" s="5"/>
      <c r="H10" s="5"/>
      <c r="I10" s="6"/>
      <c r="J10" s="6"/>
      <c r="K10" s="6"/>
      <c r="L10" s="73"/>
      <c r="M10" s="9"/>
      <c r="N10" s="5"/>
      <c r="O10" s="5"/>
      <c r="P10" s="5"/>
      <c r="Q10" s="102"/>
      <c r="R10" s="618"/>
      <c r="S10" s="3"/>
      <c r="T10" s="90"/>
      <c r="U10" s="4"/>
      <c r="V10" s="3"/>
      <c r="W10" s="3"/>
      <c r="X10" s="3"/>
      <c r="Y10" s="54"/>
      <c r="Z10" s="3"/>
      <c r="AA10" s="51"/>
      <c r="AB10" s="3"/>
      <c r="AC10" s="3"/>
      <c r="AD10" s="3"/>
      <c r="AE10" s="3"/>
      <c r="AF10" s="3"/>
      <c r="AG10" s="3"/>
      <c r="AH10" s="3"/>
      <c r="AI10" s="3"/>
      <c r="AJ10" s="3"/>
      <c r="AK10" s="3"/>
      <c r="AL10" s="3"/>
      <c r="AM10" s="18"/>
    </row>
    <row r="11" spans="1:39" ht="48" customHeight="1" x14ac:dyDescent="0.4">
      <c r="A11" s="93"/>
      <c r="B11" s="81"/>
      <c r="C11" s="43" t="s">
        <v>10</v>
      </c>
      <c r="D11" s="820" t="s">
        <v>225</v>
      </c>
      <c r="E11" s="821"/>
      <c r="F11" s="2"/>
      <c r="G11" s="5"/>
      <c r="H11" s="5"/>
      <c r="I11" s="822" t="s">
        <v>11</v>
      </c>
      <c r="J11" s="823"/>
      <c r="K11" s="823"/>
      <c r="L11" s="823"/>
      <c r="M11" s="824"/>
      <c r="N11" s="5"/>
      <c r="O11" s="5"/>
      <c r="P11" s="5"/>
      <c r="Q11" s="102"/>
      <c r="R11" s="618"/>
      <c r="S11" s="3"/>
      <c r="T11" s="90"/>
      <c r="U11" s="4"/>
      <c r="V11" s="3"/>
      <c r="W11" s="3"/>
      <c r="X11" s="3"/>
      <c r="Y11" s="54"/>
      <c r="Z11" s="3"/>
      <c r="AA11" s="51"/>
      <c r="AB11" s="3"/>
      <c r="AC11" s="3"/>
      <c r="AD11" s="3"/>
      <c r="AE11" s="3"/>
      <c r="AF11" s="3"/>
      <c r="AG11" s="3"/>
      <c r="AH11" s="3"/>
      <c r="AI11" s="3"/>
      <c r="AJ11" s="3"/>
      <c r="AK11" s="3"/>
      <c r="AL11" s="3"/>
      <c r="AM11" s="18"/>
    </row>
    <row r="12" spans="1:39" ht="50.45" customHeight="1" x14ac:dyDescent="0.4">
      <c r="A12" s="93"/>
      <c r="B12" s="81"/>
      <c r="C12" s="43" t="s">
        <v>12</v>
      </c>
      <c r="D12" s="831" t="s">
        <v>439</v>
      </c>
      <c r="E12" s="832"/>
      <c r="F12" s="13"/>
      <c r="G12" s="5"/>
      <c r="H12" s="5"/>
      <c r="I12" s="825"/>
      <c r="J12" s="826"/>
      <c r="K12" s="826"/>
      <c r="L12" s="826"/>
      <c r="M12" s="827"/>
      <c r="N12" s="5"/>
      <c r="O12" s="5"/>
      <c r="P12" s="5"/>
      <c r="Q12" s="102"/>
      <c r="R12" s="618"/>
      <c r="S12" s="3"/>
      <c r="T12" s="90"/>
      <c r="U12" s="4"/>
      <c r="V12" s="3"/>
      <c r="W12" s="3"/>
      <c r="X12" s="3"/>
      <c r="Y12" s="54"/>
      <c r="Z12" s="3"/>
      <c r="AA12" s="51"/>
      <c r="AB12" s="3"/>
      <c r="AC12" s="3"/>
      <c r="AD12" s="3"/>
      <c r="AE12" s="3"/>
      <c r="AF12" s="3"/>
      <c r="AG12" s="3"/>
      <c r="AH12" s="3"/>
      <c r="AI12" s="3"/>
      <c r="AJ12" s="3"/>
      <c r="AK12" s="3"/>
      <c r="AL12" s="3"/>
      <c r="AM12" s="18"/>
    </row>
    <row r="13" spans="1:39" ht="37.5" x14ac:dyDescent="0.4">
      <c r="A13" s="93"/>
      <c r="B13" s="81"/>
      <c r="C13" s="43" t="s">
        <v>13</v>
      </c>
      <c r="D13" s="833"/>
      <c r="E13" s="833"/>
      <c r="F13" s="88"/>
      <c r="G13" s="5"/>
      <c r="H13" s="5"/>
      <c r="I13" s="825"/>
      <c r="J13" s="826"/>
      <c r="K13" s="826"/>
      <c r="L13" s="826"/>
      <c r="M13" s="827"/>
      <c r="N13" s="5"/>
      <c r="O13" s="5"/>
      <c r="P13" s="76"/>
      <c r="Q13" s="102"/>
      <c r="R13" s="618"/>
      <c r="S13" s="3"/>
      <c r="T13" s="90"/>
      <c r="U13" s="4"/>
      <c r="V13" s="3"/>
      <c r="W13" s="3"/>
      <c r="X13" s="3"/>
      <c r="Y13" s="54"/>
      <c r="Z13" s="3"/>
      <c r="AA13" s="51"/>
      <c r="AB13" s="3"/>
      <c r="AC13" s="3"/>
      <c r="AD13" s="3"/>
      <c r="AE13" s="3"/>
      <c r="AF13" s="3"/>
      <c r="AG13" s="3"/>
      <c r="AH13" s="3"/>
      <c r="AI13" s="3"/>
      <c r="AJ13" s="3"/>
      <c r="AK13" s="3"/>
      <c r="AL13" s="3"/>
      <c r="AM13" s="18"/>
    </row>
    <row r="14" spans="1:39" ht="37.5" x14ac:dyDescent="0.4">
      <c r="A14" s="93"/>
      <c r="B14" s="81"/>
      <c r="C14" s="43" t="s">
        <v>14</v>
      </c>
      <c r="D14" s="834"/>
      <c r="E14" s="834"/>
      <c r="F14" s="88"/>
      <c r="G14" s="5"/>
      <c r="H14" s="5"/>
      <c r="I14" s="825"/>
      <c r="J14" s="826"/>
      <c r="K14" s="826"/>
      <c r="L14" s="826"/>
      <c r="M14" s="827"/>
      <c r="N14" s="5"/>
      <c r="O14" s="5"/>
      <c r="P14" s="5"/>
      <c r="Q14" s="102"/>
      <c r="R14" s="618"/>
      <c r="S14" s="3"/>
      <c r="T14" s="90"/>
      <c r="U14" s="4"/>
      <c r="V14" s="3"/>
      <c r="W14" s="3"/>
      <c r="X14" s="3"/>
      <c r="Y14" s="54"/>
      <c r="Z14" s="3"/>
      <c r="AA14" s="51"/>
      <c r="AB14" s="3"/>
      <c r="AC14" s="3"/>
      <c r="AD14" s="3"/>
      <c r="AE14" s="3"/>
      <c r="AF14" s="3"/>
      <c r="AG14" s="3"/>
      <c r="AH14" s="3"/>
      <c r="AI14" s="3"/>
      <c r="AJ14" s="3"/>
      <c r="AK14" s="3"/>
      <c r="AL14" s="3"/>
      <c r="AM14" s="18"/>
    </row>
    <row r="15" spans="1:39" ht="38.25" thickBot="1" x14ac:dyDescent="0.45">
      <c r="A15" s="93"/>
      <c r="B15" s="81"/>
      <c r="C15" s="44" t="s">
        <v>15</v>
      </c>
      <c r="D15" s="835">
        <v>43103</v>
      </c>
      <c r="E15" s="836"/>
      <c r="F15" s="89"/>
      <c r="G15" s="5"/>
      <c r="H15" s="5"/>
      <c r="I15" s="828"/>
      <c r="J15" s="829"/>
      <c r="K15" s="829"/>
      <c r="L15" s="829"/>
      <c r="M15" s="830"/>
      <c r="N15" s="5"/>
      <c r="O15" s="5"/>
      <c r="P15" s="5"/>
      <c r="Q15" s="102"/>
      <c r="R15" s="618"/>
      <c r="S15" s="3"/>
      <c r="T15" s="90"/>
      <c r="U15" s="4"/>
      <c r="V15" s="3"/>
      <c r="W15" s="3"/>
      <c r="X15" s="3"/>
      <c r="Y15" s="54"/>
      <c r="Z15" s="3"/>
      <c r="AA15" s="51"/>
      <c r="AB15" s="3"/>
      <c r="AC15" s="3"/>
      <c r="AD15" s="3"/>
      <c r="AE15" s="3"/>
      <c r="AF15" s="3"/>
      <c r="AG15" s="3"/>
      <c r="AH15" s="3"/>
      <c r="AI15" s="3"/>
      <c r="AJ15" s="3"/>
      <c r="AK15" s="3"/>
      <c r="AL15" s="3"/>
      <c r="AM15" s="18"/>
    </row>
    <row r="16" spans="1:39" ht="26.25" x14ac:dyDescent="0.4">
      <c r="A16" s="93"/>
      <c r="B16" s="81"/>
      <c r="C16" s="2"/>
      <c r="D16" s="20"/>
      <c r="E16" s="7"/>
      <c r="F16" s="7"/>
      <c r="G16" s="5"/>
      <c r="H16" s="5"/>
      <c r="I16" s="76"/>
      <c r="J16" s="14"/>
      <c r="L16" s="74"/>
      <c r="M16" s="41"/>
      <c r="N16" s="5"/>
      <c r="O16" s="5"/>
      <c r="P16" s="79"/>
      <c r="Q16" s="103"/>
      <c r="R16" s="619"/>
      <c r="S16" s="3"/>
      <c r="T16" s="90"/>
      <c r="U16" s="4"/>
      <c r="V16" s="3"/>
      <c r="W16" s="3"/>
      <c r="X16" s="82"/>
      <c r="Y16" s="54"/>
      <c r="Z16" s="3"/>
      <c r="AA16" s="51"/>
      <c r="AB16" s="3"/>
      <c r="AC16" s="3"/>
      <c r="AD16" s="3"/>
      <c r="AE16" s="3"/>
      <c r="AF16" s="3"/>
      <c r="AG16" s="3"/>
      <c r="AH16" s="3"/>
      <c r="AI16" s="3"/>
      <c r="AJ16" s="3"/>
      <c r="AK16" s="3"/>
      <c r="AL16" s="3"/>
      <c r="AM16" s="18"/>
    </row>
    <row r="17" spans="1:39" ht="62.25" thickBot="1" x14ac:dyDescent="0.45">
      <c r="A17" s="93"/>
      <c r="B17" s="81"/>
      <c r="C17" s="815" t="s">
        <v>16</v>
      </c>
      <c r="D17" s="815"/>
      <c r="E17" s="5"/>
      <c r="F17" s="5"/>
      <c r="G17" s="5"/>
      <c r="H17" s="5"/>
      <c r="I17" s="5"/>
      <c r="J17" s="16"/>
      <c r="K17" s="87"/>
      <c r="L17" s="83" t="s">
        <v>100</v>
      </c>
      <c r="M17" s="84" t="s">
        <v>287</v>
      </c>
      <c r="N17" s="5"/>
      <c r="O17" s="5"/>
      <c r="P17" s="16"/>
      <c r="Q17" s="104"/>
      <c r="R17" s="620"/>
      <c r="S17" s="3"/>
      <c r="T17" s="90"/>
      <c r="U17" s="4"/>
      <c r="V17" s="3"/>
      <c r="W17" s="3"/>
      <c r="X17" s="15"/>
      <c r="Y17" s="55"/>
      <c r="Z17" s="15"/>
      <c r="AA17" s="86" t="s">
        <v>92</v>
      </c>
      <c r="AB17" s="3"/>
      <c r="AC17" s="3"/>
      <c r="AD17" s="3"/>
      <c r="AE17" s="3"/>
      <c r="AF17" s="3"/>
      <c r="AG17" s="3"/>
      <c r="AH17" s="3"/>
      <c r="AI17" s="3"/>
      <c r="AJ17" s="3"/>
      <c r="AK17" s="3"/>
      <c r="AL17" s="3"/>
      <c r="AM17" s="18"/>
    </row>
    <row r="18" spans="1:39" ht="36" x14ac:dyDescent="0.4">
      <c r="A18" s="93"/>
      <c r="B18" s="81"/>
      <c r="C18" s="40"/>
      <c r="D18" s="21"/>
      <c r="E18" s="5"/>
      <c r="F18" s="5"/>
      <c r="G18" s="5"/>
      <c r="H18" s="5"/>
      <c r="I18" s="5"/>
      <c r="J18" s="6"/>
      <c r="K18" s="5"/>
      <c r="L18" s="609">
        <f>SUBTOTAL(9,L20:L185)</f>
        <v>799232500</v>
      </c>
      <c r="M18" s="609">
        <f>SUBTOTAL(9,M20:M185)</f>
        <v>799232500</v>
      </c>
      <c r="N18" s="5"/>
      <c r="O18" s="5"/>
      <c r="P18" s="5"/>
      <c r="Q18" s="102"/>
      <c r="R18" s="618"/>
      <c r="S18" s="3"/>
      <c r="T18" s="90"/>
      <c r="U18" s="4"/>
      <c r="V18" s="3"/>
      <c r="W18" s="3"/>
      <c r="X18" s="85">
        <f t="shared" ref="X18:AA18" si="0">SUBTOTAL(9,X20:X185)</f>
        <v>0</v>
      </c>
      <c r="Y18" s="85">
        <f t="shared" si="0"/>
        <v>0</v>
      </c>
      <c r="Z18" s="85">
        <f t="shared" si="0"/>
        <v>0</v>
      </c>
      <c r="AA18" s="85">
        <f t="shared" si="0"/>
        <v>0</v>
      </c>
      <c r="AB18" s="75"/>
      <c r="AC18" s="75"/>
      <c r="AD18" s="75"/>
      <c r="AE18" s="75"/>
      <c r="AF18" s="3"/>
      <c r="AG18" s="3"/>
      <c r="AH18" s="3"/>
      <c r="AI18" s="3"/>
      <c r="AJ18" s="3"/>
      <c r="AK18" s="3"/>
      <c r="AL18" s="3"/>
      <c r="AM18" s="18"/>
    </row>
    <row r="19" spans="1:39" ht="126" customHeight="1" x14ac:dyDescent="0.25">
      <c r="A19" s="592" t="s">
        <v>299</v>
      </c>
      <c r="B19" s="592" t="s">
        <v>300</v>
      </c>
      <c r="C19" s="592" t="s">
        <v>17</v>
      </c>
      <c r="D19" s="592" t="s">
        <v>175</v>
      </c>
      <c r="E19" s="592" t="s">
        <v>160</v>
      </c>
      <c r="F19" s="592" t="s">
        <v>159</v>
      </c>
      <c r="G19" s="592" t="s">
        <v>18</v>
      </c>
      <c r="H19" s="592" t="s">
        <v>138</v>
      </c>
      <c r="I19" s="592" t="s">
        <v>19</v>
      </c>
      <c r="J19" s="592" t="s">
        <v>20</v>
      </c>
      <c r="K19" s="592" t="s">
        <v>189</v>
      </c>
      <c r="L19" s="610" t="s">
        <v>190</v>
      </c>
      <c r="M19" s="611" t="s">
        <v>191</v>
      </c>
      <c r="N19" s="592" t="s">
        <v>192</v>
      </c>
      <c r="O19" s="592" t="s">
        <v>21</v>
      </c>
      <c r="P19" s="592" t="s">
        <v>22</v>
      </c>
      <c r="Q19" s="593"/>
      <c r="R19" s="622" t="s">
        <v>555</v>
      </c>
      <c r="S19" s="594" t="s">
        <v>23</v>
      </c>
      <c r="T19" s="594" t="s">
        <v>164</v>
      </c>
      <c r="U19" s="595" t="s">
        <v>24</v>
      </c>
      <c r="V19" s="594" t="s">
        <v>25</v>
      </c>
      <c r="W19" s="594" t="s">
        <v>26</v>
      </c>
      <c r="X19" s="596" t="s">
        <v>271</v>
      </c>
      <c r="Y19" s="596" t="s">
        <v>182</v>
      </c>
      <c r="Z19" s="596" t="s">
        <v>163</v>
      </c>
      <c r="AA19" s="597" t="s">
        <v>233</v>
      </c>
      <c r="AB19" s="594" t="s">
        <v>27</v>
      </c>
      <c r="AC19" s="594" t="s">
        <v>83</v>
      </c>
      <c r="AD19" s="594" t="s">
        <v>84</v>
      </c>
      <c r="AE19" s="594" t="s">
        <v>28</v>
      </c>
      <c r="AF19" s="594" t="s">
        <v>29</v>
      </c>
      <c r="AG19" s="594" t="s">
        <v>85</v>
      </c>
      <c r="AH19" s="594" t="s">
        <v>30</v>
      </c>
      <c r="AI19" s="594" t="s">
        <v>31</v>
      </c>
      <c r="AJ19" s="594" t="s">
        <v>32</v>
      </c>
      <c r="AK19" s="594" t="s">
        <v>33</v>
      </c>
      <c r="AL19" s="594" t="s">
        <v>86</v>
      </c>
      <c r="AM19" s="598" t="s">
        <v>34</v>
      </c>
    </row>
    <row r="20" spans="1:39" ht="93" hidden="1" x14ac:dyDescent="0.25">
      <c r="A20" s="599">
        <v>1</v>
      </c>
      <c r="B20" s="600" t="s">
        <v>264</v>
      </c>
      <c r="C20" s="601">
        <v>78181701</v>
      </c>
      <c r="D20" s="602" t="s">
        <v>219</v>
      </c>
      <c r="E20" s="600" t="s">
        <v>48</v>
      </c>
      <c r="F20" s="600">
        <v>1</v>
      </c>
      <c r="G20" s="603" t="s">
        <v>73</v>
      </c>
      <c r="H20" s="604">
        <v>12</v>
      </c>
      <c r="I20" s="600" t="s">
        <v>50</v>
      </c>
      <c r="J20" s="600" t="s">
        <v>35</v>
      </c>
      <c r="K20" s="600" t="s">
        <v>158</v>
      </c>
      <c r="L20" s="605">
        <v>43000000</v>
      </c>
      <c r="M20" s="606">
        <v>43000000</v>
      </c>
      <c r="N20" s="600" t="s">
        <v>51</v>
      </c>
      <c r="O20" s="600" t="s">
        <v>36</v>
      </c>
      <c r="P20" s="600" t="s">
        <v>320</v>
      </c>
      <c r="Q20" s="80"/>
      <c r="R20" s="623"/>
      <c r="S20" s="608"/>
      <c r="T20" s="608"/>
      <c r="U20" s="608"/>
      <c r="V20" s="608"/>
      <c r="W20" s="608"/>
      <c r="X20" s="608"/>
      <c r="Y20" s="608"/>
      <c r="Z20" s="608"/>
      <c r="AA20" s="608"/>
      <c r="AB20" s="608"/>
      <c r="AC20" s="608"/>
      <c r="AD20" s="608"/>
      <c r="AE20" s="608"/>
      <c r="AF20" s="608"/>
      <c r="AG20" s="608"/>
      <c r="AH20" s="608"/>
      <c r="AI20" s="608"/>
      <c r="AJ20" s="608"/>
      <c r="AK20" s="608"/>
      <c r="AL20" s="608"/>
      <c r="AM20" s="608"/>
    </row>
    <row r="21" spans="1:39" ht="93" hidden="1" x14ac:dyDescent="0.25">
      <c r="A21" s="599">
        <f>1+A20</f>
        <v>2</v>
      </c>
      <c r="B21" s="600" t="s">
        <v>264</v>
      </c>
      <c r="C21" s="601">
        <v>25172504</v>
      </c>
      <c r="D21" s="602" t="s">
        <v>52</v>
      </c>
      <c r="E21" s="600" t="s">
        <v>48</v>
      </c>
      <c r="F21" s="600">
        <v>1</v>
      </c>
      <c r="G21" s="603" t="s">
        <v>79</v>
      </c>
      <c r="H21" s="604" t="s">
        <v>156</v>
      </c>
      <c r="I21" s="600" t="s">
        <v>53</v>
      </c>
      <c r="J21" s="600" t="s">
        <v>35</v>
      </c>
      <c r="K21" s="600" t="s">
        <v>54</v>
      </c>
      <c r="L21" s="605">
        <v>4000000</v>
      </c>
      <c r="M21" s="606">
        <v>4000000</v>
      </c>
      <c r="N21" s="600" t="s">
        <v>51</v>
      </c>
      <c r="O21" s="600" t="s">
        <v>36</v>
      </c>
      <c r="P21" s="600" t="s">
        <v>320</v>
      </c>
      <c r="Q21" s="80"/>
      <c r="R21" s="623"/>
      <c r="S21" s="608"/>
      <c r="T21" s="608"/>
      <c r="U21" s="608"/>
      <c r="V21" s="608"/>
      <c r="W21" s="608"/>
      <c r="X21" s="608"/>
      <c r="Y21" s="608"/>
      <c r="Z21" s="608"/>
      <c r="AA21" s="608"/>
      <c r="AB21" s="608"/>
      <c r="AC21" s="608"/>
      <c r="AD21" s="608"/>
      <c r="AE21" s="608"/>
      <c r="AF21" s="608"/>
      <c r="AG21" s="608"/>
      <c r="AH21" s="608"/>
      <c r="AI21" s="608"/>
      <c r="AJ21" s="608"/>
      <c r="AK21" s="608"/>
      <c r="AL21" s="608"/>
      <c r="AM21" s="608"/>
    </row>
    <row r="22" spans="1:39" ht="255" hidden="1" customHeight="1" x14ac:dyDescent="0.25">
      <c r="A22" s="599">
        <f>SUM(A21+1)</f>
        <v>3</v>
      </c>
      <c r="B22" s="600" t="s">
        <v>264</v>
      </c>
      <c r="C22" s="601" t="s">
        <v>67</v>
      </c>
      <c r="D22" s="602" t="s">
        <v>40</v>
      </c>
      <c r="E22" s="600" t="s">
        <v>48</v>
      </c>
      <c r="F22" s="600">
        <v>1</v>
      </c>
      <c r="G22" s="603" t="s">
        <v>76</v>
      </c>
      <c r="H22" s="604">
        <v>2</v>
      </c>
      <c r="I22" s="600" t="s">
        <v>173</v>
      </c>
      <c r="J22" s="600" t="s">
        <v>35</v>
      </c>
      <c r="K22" s="600" t="s">
        <v>41</v>
      </c>
      <c r="L22" s="605">
        <v>40000000</v>
      </c>
      <c r="M22" s="606">
        <v>40000000</v>
      </c>
      <c r="N22" s="600" t="s">
        <v>51</v>
      </c>
      <c r="O22" s="600" t="s">
        <v>36</v>
      </c>
      <c r="P22" s="600" t="s">
        <v>320</v>
      </c>
      <c r="Q22" s="80"/>
      <c r="R22" s="623"/>
      <c r="S22" s="608"/>
      <c r="T22" s="608"/>
      <c r="U22" s="608"/>
      <c r="V22" s="608"/>
      <c r="W22" s="608"/>
      <c r="X22" s="608"/>
      <c r="Y22" s="608"/>
      <c r="Z22" s="608"/>
      <c r="AA22" s="608"/>
      <c r="AB22" s="608"/>
      <c r="AC22" s="608"/>
      <c r="AD22" s="608"/>
      <c r="AE22" s="608"/>
      <c r="AF22" s="608"/>
      <c r="AG22" s="608"/>
      <c r="AH22" s="608"/>
      <c r="AI22" s="608"/>
      <c r="AJ22" s="608"/>
      <c r="AK22" s="608"/>
      <c r="AL22" s="608"/>
      <c r="AM22" s="608"/>
    </row>
    <row r="23" spans="1:39" ht="93" hidden="1" x14ac:dyDescent="0.25">
      <c r="A23" s="599">
        <f t="shared" ref="A23:A25" si="1">SUM(A22+1)</f>
        <v>4</v>
      </c>
      <c r="B23" s="600" t="s">
        <v>264</v>
      </c>
      <c r="C23" s="601">
        <v>44103103</v>
      </c>
      <c r="D23" s="602" t="s">
        <v>201</v>
      </c>
      <c r="E23" s="600" t="s">
        <v>48</v>
      </c>
      <c r="F23" s="600">
        <v>1</v>
      </c>
      <c r="G23" s="603" t="s">
        <v>75</v>
      </c>
      <c r="H23" s="604" t="s">
        <v>157</v>
      </c>
      <c r="I23" s="600" t="s">
        <v>173</v>
      </c>
      <c r="J23" s="600" t="s">
        <v>35</v>
      </c>
      <c r="K23" s="600" t="s">
        <v>41</v>
      </c>
      <c r="L23" s="637">
        <v>55000000</v>
      </c>
      <c r="M23" s="638">
        <v>55000000</v>
      </c>
      <c r="N23" s="600" t="s">
        <v>51</v>
      </c>
      <c r="O23" s="600" t="s">
        <v>36</v>
      </c>
      <c r="P23" s="600" t="s">
        <v>320</v>
      </c>
      <c r="Q23" s="80"/>
      <c r="R23" s="623"/>
      <c r="S23" s="608"/>
      <c r="T23" s="608"/>
      <c r="U23" s="608"/>
      <c r="V23" s="608"/>
      <c r="W23" s="608"/>
      <c r="X23" s="608"/>
      <c r="Y23" s="608"/>
      <c r="Z23" s="608"/>
      <c r="AA23" s="608"/>
      <c r="AB23" s="608"/>
      <c r="AC23" s="608"/>
      <c r="AD23" s="608"/>
      <c r="AE23" s="608"/>
      <c r="AF23" s="608"/>
      <c r="AG23" s="608"/>
      <c r="AH23" s="608"/>
      <c r="AI23" s="608"/>
      <c r="AJ23" s="608"/>
      <c r="AK23" s="608"/>
      <c r="AL23" s="608"/>
      <c r="AM23" s="608"/>
    </row>
    <row r="24" spans="1:39" ht="93" hidden="1" x14ac:dyDescent="0.25">
      <c r="A24" s="599">
        <f t="shared" si="1"/>
        <v>5</v>
      </c>
      <c r="B24" s="600" t="s">
        <v>264</v>
      </c>
      <c r="C24" s="601">
        <v>44103104</v>
      </c>
      <c r="D24" s="602" t="s">
        <v>201</v>
      </c>
      <c r="E24" s="600" t="s">
        <v>48</v>
      </c>
      <c r="F24" s="600">
        <v>1</v>
      </c>
      <c r="G24" s="603" t="s">
        <v>75</v>
      </c>
      <c r="H24" s="604" t="s">
        <v>157</v>
      </c>
      <c r="I24" s="600" t="s">
        <v>305</v>
      </c>
      <c r="J24" s="600" t="s">
        <v>35</v>
      </c>
      <c r="K24" s="600" t="s">
        <v>41</v>
      </c>
      <c r="L24" s="637">
        <v>55000000</v>
      </c>
      <c r="M24" s="638">
        <v>55000000</v>
      </c>
      <c r="N24" s="600" t="s">
        <v>51</v>
      </c>
      <c r="O24" s="600" t="s">
        <v>36</v>
      </c>
      <c r="P24" s="600" t="s">
        <v>320</v>
      </c>
      <c r="Q24" s="80"/>
      <c r="R24" s="623"/>
      <c r="S24" s="608"/>
      <c r="T24" s="608"/>
      <c r="U24" s="608"/>
      <c r="V24" s="608"/>
      <c r="W24" s="608"/>
      <c r="X24" s="608"/>
      <c r="Y24" s="608"/>
      <c r="Z24" s="608"/>
      <c r="AA24" s="608"/>
      <c r="AB24" s="608"/>
      <c r="AC24" s="608"/>
      <c r="AD24" s="608"/>
      <c r="AE24" s="608"/>
      <c r="AF24" s="608"/>
      <c r="AG24" s="608"/>
      <c r="AH24" s="608"/>
      <c r="AI24" s="608"/>
      <c r="AJ24" s="608"/>
      <c r="AK24" s="608"/>
      <c r="AL24" s="608"/>
      <c r="AM24" s="608"/>
    </row>
    <row r="25" spans="1:39" ht="93" hidden="1" x14ac:dyDescent="0.25">
      <c r="A25" s="599">
        <f t="shared" si="1"/>
        <v>6</v>
      </c>
      <c r="B25" s="600" t="s">
        <v>264</v>
      </c>
      <c r="C25" s="601">
        <v>80101706</v>
      </c>
      <c r="D25" s="627" t="s">
        <v>440</v>
      </c>
      <c r="E25" s="600" t="s">
        <v>48</v>
      </c>
      <c r="F25" s="600">
        <v>1</v>
      </c>
      <c r="G25" s="603" t="s">
        <v>79</v>
      </c>
      <c r="H25" s="604" t="s">
        <v>232</v>
      </c>
      <c r="I25" s="600" t="s">
        <v>61</v>
      </c>
      <c r="J25" s="600" t="s">
        <v>35</v>
      </c>
      <c r="K25" s="600" t="s">
        <v>441</v>
      </c>
      <c r="L25" s="605">
        <v>18000000</v>
      </c>
      <c r="M25" s="606">
        <v>18000000</v>
      </c>
      <c r="N25" s="600" t="s">
        <v>51</v>
      </c>
      <c r="O25" s="600" t="s">
        <v>36</v>
      </c>
      <c r="P25" s="600" t="s">
        <v>320</v>
      </c>
      <c r="Q25" s="80"/>
      <c r="R25" s="623"/>
      <c r="S25" s="608"/>
      <c r="T25" s="608"/>
      <c r="U25" s="608"/>
      <c r="V25" s="608"/>
      <c r="W25" s="608"/>
      <c r="X25" s="608"/>
      <c r="Y25" s="608"/>
      <c r="Z25" s="608"/>
      <c r="AA25" s="608"/>
      <c r="AB25" s="608"/>
      <c r="AC25" s="608"/>
      <c r="AD25" s="608"/>
      <c r="AE25" s="608"/>
      <c r="AF25" s="608"/>
      <c r="AG25" s="608"/>
      <c r="AH25" s="608"/>
      <c r="AI25" s="608"/>
      <c r="AJ25" s="608"/>
      <c r="AK25" s="608"/>
      <c r="AL25" s="608"/>
      <c r="AM25" s="608"/>
    </row>
    <row r="26" spans="1:39" ht="116.25" hidden="1" x14ac:dyDescent="0.25">
      <c r="A26" s="599">
        <f t="shared" ref="A26:A57" si="2">SUM(A25+1)</f>
        <v>7</v>
      </c>
      <c r="B26" s="600" t="s">
        <v>264</v>
      </c>
      <c r="C26" s="601">
        <v>72101506</v>
      </c>
      <c r="D26" s="602" t="s">
        <v>304</v>
      </c>
      <c r="E26" s="600" t="s">
        <v>48</v>
      </c>
      <c r="F26" s="600">
        <v>1</v>
      </c>
      <c r="G26" s="603" t="s">
        <v>73</v>
      </c>
      <c r="H26" s="604" t="s">
        <v>284</v>
      </c>
      <c r="I26" s="600" t="s">
        <v>55</v>
      </c>
      <c r="J26" s="600" t="s">
        <v>35</v>
      </c>
      <c r="K26" s="600" t="s">
        <v>46</v>
      </c>
      <c r="L26" s="605">
        <v>3000000</v>
      </c>
      <c r="M26" s="606">
        <v>3000000</v>
      </c>
      <c r="N26" s="600" t="s">
        <v>51</v>
      </c>
      <c r="O26" s="600" t="s">
        <v>36</v>
      </c>
      <c r="P26" s="600" t="s">
        <v>320</v>
      </c>
      <c r="Q26" s="80"/>
      <c r="R26" s="623"/>
      <c r="S26" s="608"/>
      <c r="T26" s="608"/>
      <c r="U26" s="608"/>
      <c r="V26" s="608"/>
      <c r="W26" s="608"/>
      <c r="X26" s="608"/>
      <c r="Y26" s="608"/>
      <c r="Z26" s="608"/>
      <c r="AA26" s="608"/>
      <c r="AB26" s="608"/>
      <c r="AC26" s="608"/>
      <c r="AD26" s="608"/>
      <c r="AE26" s="608"/>
      <c r="AF26" s="608"/>
      <c r="AG26" s="608"/>
      <c r="AH26" s="608"/>
      <c r="AI26" s="608"/>
      <c r="AJ26" s="608"/>
      <c r="AK26" s="608"/>
      <c r="AL26" s="608"/>
      <c r="AM26" s="608"/>
    </row>
    <row r="27" spans="1:39" ht="93" hidden="1" x14ac:dyDescent="0.25">
      <c r="A27" s="599">
        <f t="shared" si="2"/>
        <v>8</v>
      </c>
      <c r="B27" s="600" t="s">
        <v>264</v>
      </c>
      <c r="C27" s="601" t="s">
        <v>468</v>
      </c>
      <c r="D27" s="602" t="s">
        <v>469</v>
      </c>
      <c r="E27" s="600" t="s">
        <v>48</v>
      </c>
      <c r="F27" s="600">
        <v>1</v>
      </c>
      <c r="G27" s="603" t="s">
        <v>80</v>
      </c>
      <c r="H27" s="604">
        <v>8</v>
      </c>
      <c r="I27" s="600" t="s">
        <v>55</v>
      </c>
      <c r="J27" s="600" t="s">
        <v>35</v>
      </c>
      <c r="K27" s="600" t="s">
        <v>46</v>
      </c>
      <c r="L27" s="605">
        <v>10000000</v>
      </c>
      <c r="M27" s="606">
        <v>10000000</v>
      </c>
      <c r="N27" s="600" t="s">
        <v>51</v>
      </c>
      <c r="O27" s="600" t="s">
        <v>36</v>
      </c>
      <c r="P27" s="600" t="s">
        <v>320</v>
      </c>
      <c r="Q27" s="80"/>
      <c r="R27" s="623"/>
      <c r="S27" s="608"/>
      <c r="T27" s="608"/>
      <c r="U27" s="608"/>
      <c r="V27" s="608"/>
      <c r="W27" s="608"/>
      <c r="X27" s="608"/>
      <c r="Y27" s="608"/>
      <c r="Z27" s="608"/>
      <c r="AA27" s="608"/>
      <c r="AB27" s="608"/>
      <c r="AC27" s="608"/>
      <c r="AD27" s="608"/>
      <c r="AE27" s="608"/>
      <c r="AF27" s="608"/>
      <c r="AG27" s="608"/>
      <c r="AH27" s="608"/>
      <c r="AI27" s="608"/>
      <c r="AJ27" s="608"/>
      <c r="AK27" s="608"/>
      <c r="AL27" s="608"/>
      <c r="AM27" s="608"/>
    </row>
    <row r="28" spans="1:39" ht="136.15" hidden="1" customHeight="1" x14ac:dyDescent="0.25">
      <c r="A28" s="599">
        <f t="shared" si="2"/>
        <v>9</v>
      </c>
      <c r="B28" s="600" t="s">
        <v>478</v>
      </c>
      <c r="C28" s="601">
        <v>72101506</v>
      </c>
      <c r="D28" s="602" t="s">
        <v>215</v>
      </c>
      <c r="E28" s="600" t="s">
        <v>48</v>
      </c>
      <c r="F28" s="600">
        <v>1</v>
      </c>
      <c r="G28" s="603" t="s">
        <v>75</v>
      </c>
      <c r="H28" s="604" t="s">
        <v>157</v>
      </c>
      <c r="I28" s="600" t="s">
        <v>55</v>
      </c>
      <c r="J28" s="600" t="s">
        <v>35</v>
      </c>
      <c r="K28" s="600" t="s">
        <v>46</v>
      </c>
      <c r="L28" s="605">
        <v>10000000</v>
      </c>
      <c r="M28" s="606">
        <v>10000000</v>
      </c>
      <c r="N28" s="600" t="s">
        <v>51</v>
      </c>
      <c r="O28" s="600" t="s">
        <v>36</v>
      </c>
      <c r="P28" s="600" t="s">
        <v>477</v>
      </c>
      <c r="Q28" s="80"/>
      <c r="R28" s="623"/>
      <c r="S28" s="608"/>
      <c r="T28" s="608"/>
      <c r="U28" s="608"/>
      <c r="V28" s="608"/>
      <c r="W28" s="608"/>
      <c r="X28" s="608"/>
      <c r="Y28" s="608"/>
      <c r="Z28" s="608"/>
      <c r="AA28" s="608"/>
      <c r="AB28" s="608"/>
      <c r="AC28" s="608"/>
      <c r="AD28" s="608"/>
      <c r="AE28" s="608"/>
      <c r="AF28" s="608"/>
      <c r="AG28" s="608"/>
      <c r="AH28" s="608"/>
      <c r="AI28" s="608"/>
      <c r="AJ28" s="608"/>
      <c r="AK28" s="608"/>
      <c r="AL28" s="608"/>
      <c r="AM28" s="608"/>
    </row>
    <row r="29" spans="1:39" ht="93" hidden="1" x14ac:dyDescent="0.25">
      <c r="A29" s="599">
        <f t="shared" si="2"/>
        <v>10</v>
      </c>
      <c r="B29" s="600" t="s">
        <v>264</v>
      </c>
      <c r="C29" s="601">
        <v>72102900</v>
      </c>
      <c r="D29" s="602" t="s">
        <v>56</v>
      </c>
      <c r="E29" s="600" t="s">
        <v>48</v>
      </c>
      <c r="F29" s="600">
        <v>1</v>
      </c>
      <c r="G29" s="603" t="s">
        <v>445</v>
      </c>
      <c r="H29" s="604" t="s">
        <v>446</v>
      </c>
      <c r="I29" s="600" t="s">
        <v>50</v>
      </c>
      <c r="J29" s="600" t="s">
        <v>35</v>
      </c>
      <c r="K29" s="600" t="s">
        <v>57</v>
      </c>
      <c r="L29" s="605">
        <v>290000000</v>
      </c>
      <c r="M29" s="606">
        <v>99000000</v>
      </c>
      <c r="N29" s="600" t="s">
        <v>49</v>
      </c>
      <c r="O29" s="600" t="s">
        <v>447</v>
      </c>
      <c r="P29" s="600" t="s">
        <v>320</v>
      </c>
      <c r="Q29" s="80"/>
      <c r="R29" s="623"/>
      <c r="S29" s="608"/>
      <c r="T29" s="608"/>
      <c r="U29" s="608"/>
      <c r="V29" s="608"/>
      <c r="W29" s="608"/>
      <c r="X29" s="608"/>
      <c r="Y29" s="608"/>
      <c r="Z29" s="608"/>
      <c r="AA29" s="608"/>
      <c r="AB29" s="608"/>
      <c r="AC29" s="608"/>
      <c r="AD29" s="608"/>
      <c r="AE29" s="608"/>
      <c r="AF29" s="608"/>
      <c r="AG29" s="608"/>
      <c r="AH29" s="608"/>
      <c r="AI29" s="608"/>
      <c r="AJ29" s="608"/>
      <c r="AK29" s="608"/>
      <c r="AL29" s="608"/>
      <c r="AM29" s="608"/>
    </row>
    <row r="30" spans="1:39" ht="93" hidden="1" x14ac:dyDescent="0.25">
      <c r="A30" s="599">
        <f t="shared" si="2"/>
        <v>11</v>
      </c>
      <c r="B30" s="600" t="s">
        <v>264</v>
      </c>
      <c r="C30" s="601">
        <v>84131603</v>
      </c>
      <c r="D30" s="602" t="s">
        <v>62</v>
      </c>
      <c r="E30" s="600" t="s">
        <v>48</v>
      </c>
      <c r="F30" s="600">
        <v>1</v>
      </c>
      <c r="G30" s="603" t="s">
        <v>73</v>
      </c>
      <c r="H30" s="604" t="s">
        <v>156</v>
      </c>
      <c r="I30" s="600" t="s">
        <v>50</v>
      </c>
      <c r="J30" s="600" t="s">
        <v>35</v>
      </c>
      <c r="K30" s="600" t="s">
        <v>39</v>
      </c>
      <c r="L30" s="605">
        <v>4000000</v>
      </c>
      <c r="M30" s="606">
        <v>4000000</v>
      </c>
      <c r="N30" s="600" t="s">
        <v>51</v>
      </c>
      <c r="O30" s="600" t="s">
        <v>36</v>
      </c>
      <c r="P30" s="600" t="s">
        <v>320</v>
      </c>
      <c r="Q30" s="80"/>
      <c r="R30" s="623"/>
      <c r="S30" s="608"/>
      <c r="T30" s="608"/>
      <c r="U30" s="608"/>
      <c r="V30" s="608"/>
      <c r="W30" s="608"/>
      <c r="X30" s="608"/>
      <c r="Y30" s="608"/>
      <c r="Z30" s="608"/>
      <c r="AA30" s="608"/>
      <c r="AB30" s="608"/>
      <c r="AC30" s="608"/>
      <c r="AD30" s="608"/>
      <c r="AE30" s="608"/>
      <c r="AF30" s="608"/>
      <c r="AG30" s="608"/>
      <c r="AH30" s="608"/>
      <c r="AI30" s="608"/>
      <c r="AJ30" s="608"/>
      <c r="AK30" s="608"/>
      <c r="AL30" s="608"/>
      <c r="AM30" s="608"/>
    </row>
    <row r="31" spans="1:39" ht="93" hidden="1" x14ac:dyDescent="0.25">
      <c r="A31" s="599">
        <f t="shared" si="2"/>
        <v>12</v>
      </c>
      <c r="B31" s="600" t="s">
        <v>264</v>
      </c>
      <c r="C31" s="601">
        <v>20102302</v>
      </c>
      <c r="D31" s="602" t="s">
        <v>204</v>
      </c>
      <c r="E31" s="600" t="s">
        <v>48</v>
      </c>
      <c r="F31" s="600">
        <v>1</v>
      </c>
      <c r="G31" s="603" t="s">
        <v>80</v>
      </c>
      <c r="H31" s="604" t="s">
        <v>156</v>
      </c>
      <c r="I31" s="600" t="s">
        <v>55</v>
      </c>
      <c r="J31" s="600" t="s">
        <v>35</v>
      </c>
      <c r="K31" s="600" t="s">
        <v>218</v>
      </c>
      <c r="L31" s="605">
        <v>2400000</v>
      </c>
      <c r="M31" s="606">
        <v>2400000</v>
      </c>
      <c r="N31" s="600" t="s">
        <v>51</v>
      </c>
      <c r="O31" s="600" t="s">
        <v>36</v>
      </c>
      <c r="P31" s="600" t="s">
        <v>320</v>
      </c>
      <c r="Q31" s="80"/>
      <c r="R31" s="623"/>
      <c r="S31" s="608"/>
      <c r="T31" s="608"/>
      <c r="U31" s="608"/>
      <c r="V31" s="608"/>
      <c r="W31" s="608"/>
      <c r="X31" s="608"/>
      <c r="Y31" s="608"/>
      <c r="Z31" s="608"/>
      <c r="AA31" s="608"/>
      <c r="AB31" s="608"/>
      <c r="AC31" s="608"/>
      <c r="AD31" s="608"/>
      <c r="AE31" s="608"/>
      <c r="AF31" s="608"/>
      <c r="AG31" s="608"/>
      <c r="AH31" s="608"/>
      <c r="AI31" s="608"/>
      <c r="AJ31" s="608"/>
      <c r="AK31" s="608"/>
      <c r="AL31" s="608"/>
      <c r="AM31" s="608"/>
    </row>
    <row r="32" spans="1:39" ht="93" hidden="1" x14ac:dyDescent="0.25">
      <c r="A32" s="599">
        <f t="shared" si="2"/>
        <v>13</v>
      </c>
      <c r="B32" s="600" t="s">
        <v>264</v>
      </c>
      <c r="C32" s="601">
        <v>55101519</v>
      </c>
      <c r="D32" s="602" t="s">
        <v>179</v>
      </c>
      <c r="E32" s="600" t="s">
        <v>48</v>
      </c>
      <c r="F32" s="600">
        <v>1</v>
      </c>
      <c r="G32" s="603" t="s">
        <v>78</v>
      </c>
      <c r="H32" s="604" t="s">
        <v>206</v>
      </c>
      <c r="I32" s="600" t="s">
        <v>55</v>
      </c>
      <c r="J32" s="600" t="s">
        <v>35</v>
      </c>
      <c r="K32" s="600" t="s">
        <v>193</v>
      </c>
      <c r="L32" s="605">
        <v>2500000</v>
      </c>
      <c r="M32" s="606">
        <v>2500000</v>
      </c>
      <c r="N32" s="600" t="s">
        <v>51</v>
      </c>
      <c r="O32" s="600" t="s">
        <v>36</v>
      </c>
      <c r="P32" s="600" t="s">
        <v>320</v>
      </c>
      <c r="Q32" s="80"/>
      <c r="R32" s="623"/>
      <c r="S32" s="608"/>
      <c r="T32" s="608"/>
      <c r="U32" s="608"/>
      <c r="V32" s="608"/>
      <c r="W32" s="608"/>
      <c r="X32" s="608"/>
      <c r="Y32" s="608"/>
      <c r="Z32" s="608"/>
      <c r="AA32" s="608"/>
      <c r="AB32" s="608"/>
      <c r="AC32" s="608"/>
      <c r="AD32" s="608"/>
      <c r="AE32" s="608"/>
      <c r="AF32" s="608"/>
      <c r="AG32" s="608"/>
      <c r="AH32" s="608"/>
      <c r="AI32" s="608"/>
      <c r="AJ32" s="608"/>
      <c r="AK32" s="608"/>
      <c r="AL32" s="608"/>
      <c r="AM32" s="608"/>
    </row>
    <row r="33" spans="1:39" ht="93" hidden="1" x14ac:dyDescent="0.25">
      <c r="A33" s="599">
        <f t="shared" si="2"/>
        <v>14</v>
      </c>
      <c r="B33" s="600" t="s">
        <v>264</v>
      </c>
      <c r="C33" s="601">
        <v>72101516</v>
      </c>
      <c r="D33" s="602" t="s">
        <v>448</v>
      </c>
      <c r="E33" s="600" t="s">
        <v>48</v>
      </c>
      <c r="F33" s="600">
        <v>1</v>
      </c>
      <c r="G33" s="603" t="s">
        <v>76</v>
      </c>
      <c r="H33" s="604" t="s">
        <v>157</v>
      </c>
      <c r="I33" s="600" t="s">
        <v>55</v>
      </c>
      <c r="J33" s="600" t="s">
        <v>35</v>
      </c>
      <c r="K33" s="600" t="s">
        <v>37</v>
      </c>
      <c r="L33" s="605">
        <v>2800000</v>
      </c>
      <c r="M33" s="606">
        <v>2800000</v>
      </c>
      <c r="N33" s="600" t="s">
        <v>51</v>
      </c>
      <c r="O33" s="600" t="s">
        <v>36</v>
      </c>
      <c r="P33" s="600" t="s">
        <v>320</v>
      </c>
      <c r="Q33" s="80"/>
      <c r="R33" s="623"/>
      <c r="S33" s="608"/>
      <c r="T33" s="608"/>
      <c r="U33" s="608"/>
      <c r="V33" s="608"/>
      <c r="W33" s="608"/>
      <c r="X33" s="608"/>
      <c r="Y33" s="608"/>
      <c r="Z33" s="608"/>
      <c r="AA33" s="608"/>
      <c r="AB33" s="608"/>
      <c r="AC33" s="608"/>
      <c r="AD33" s="608"/>
      <c r="AE33" s="608"/>
      <c r="AF33" s="608"/>
      <c r="AG33" s="608"/>
      <c r="AH33" s="608"/>
      <c r="AI33" s="608"/>
      <c r="AJ33" s="608"/>
      <c r="AK33" s="608"/>
      <c r="AL33" s="608"/>
      <c r="AM33" s="608"/>
    </row>
    <row r="34" spans="1:39" ht="93" hidden="1" x14ac:dyDescent="0.25">
      <c r="A34" s="599">
        <f t="shared" si="2"/>
        <v>15</v>
      </c>
      <c r="B34" s="600" t="s">
        <v>264</v>
      </c>
      <c r="C34" s="601" t="s">
        <v>205</v>
      </c>
      <c r="D34" s="602" t="s">
        <v>449</v>
      </c>
      <c r="E34" s="600" t="s">
        <v>48</v>
      </c>
      <c r="F34" s="600">
        <v>1</v>
      </c>
      <c r="G34" s="603" t="s">
        <v>80</v>
      </c>
      <c r="H34" s="604" t="s">
        <v>250</v>
      </c>
      <c r="I34" s="600" t="s">
        <v>55</v>
      </c>
      <c r="J34" s="600" t="s">
        <v>35</v>
      </c>
      <c r="K34" s="600" t="s">
        <v>37</v>
      </c>
      <c r="L34" s="605">
        <v>8000000</v>
      </c>
      <c r="M34" s="606">
        <v>8000000</v>
      </c>
      <c r="N34" s="600" t="s">
        <v>51</v>
      </c>
      <c r="O34" s="600" t="s">
        <v>36</v>
      </c>
      <c r="P34" s="600" t="s">
        <v>320</v>
      </c>
      <c r="Q34" s="80"/>
      <c r="R34" s="623"/>
      <c r="S34" s="608"/>
      <c r="T34" s="608"/>
      <c r="U34" s="608"/>
      <c r="V34" s="608"/>
      <c r="W34" s="608"/>
      <c r="X34" s="608"/>
      <c r="Y34" s="608"/>
      <c r="Z34" s="608"/>
      <c r="AA34" s="608"/>
      <c r="AB34" s="608"/>
      <c r="AC34" s="608"/>
      <c r="AD34" s="608"/>
      <c r="AE34" s="608"/>
      <c r="AF34" s="608"/>
      <c r="AG34" s="608"/>
      <c r="AH34" s="608"/>
      <c r="AI34" s="608"/>
      <c r="AJ34" s="608"/>
      <c r="AK34" s="608"/>
      <c r="AL34" s="608"/>
      <c r="AM34" s="608"/>
    </row>
    <row r="35" spans="1:39" ht="93" hidden="1" x14ac:dyDescent="0.25">
      <c r="A35" s="599">
        <f t="shared" si="2"/>
        <v>16</v>
      </c>
      <c r="B35" s="600" t="s">
        <v>264</v>
      </c>
      <c r="C35" s="601" t="s">
        <v>205</v>
      </c>
      <c r="D35" s="602" t="s">
        <v>589</v>
      </c>
      <c r="E35" s="600" t="s">
        <v>48</v>
      </c>
      <c r="F35" s="600">
        <v>1</v>
      </c>
      <c r="G35" s="603" t="s">
        <v>80</v>
      </c>
      <c r="H35" s="604" t="s">
        <v>250</v>
      </c>
      <c r="I35" s="600" t="s">
        <v>55</v>
      </c>
      <c r="J35" s="600" t="s">
        <v>35</v>
      </c>
      <c r="K35" s="600" t="s">
        <v>44</v>
      </c>
      <c r="L35" s="605">
        <v>2000000</v>
      </c>
      <c r="M35" s="606">
        <v>2000000</v>
      </c>
      <c r="N35" s="600" t="s">
        <v>51</v>
      </c>
      <c r="O35" s="600" t="s">
        <v>36</v>
      </c>
      <c r="P35" s="600" t="s">
        <v>320</v>
      </c>
      <c r="Q35" s="80"/>
      <c r="R35" s="623"/>
      <c r="S35" s="608"/>
      <c r="T35" s="608"/>
      <c r="U35" s="608"/>
      <c r="V35" s="608"/>
      <c r="W35" s="608"/>
      <c r="X35" s="608"/>
      <c r="Y35" s="608"/>
      <c r="Z35" s="608"/>
      <c r="AA35" s="608"/>
      <c r="AB35" s="608"/>
      <c r="AC35" s="608"/>
      <c r="AD35" s="608"/>
      <c r="AE35" s="608"/>
      <c r="AF35" s="608"/>
      <c r="AG35" s="608"/>
      <c r="AH35" s="608"/>
      <c r="AI35" s="608"/>
      <c r="AJ35" s="608"/>
      <c r="AK35" s="608"/>
      <c r="AL35" s="608"/>
      <c r="AM35" s="608"/>
    </row>
    <row r="36" spans="1:39" ht="93" hidden="1" x14ac:dyDescent="0.25">
      <c r="A36" s="599">
        <f t="shared" si="2"/>
        <v>17</v>
      </c>
      <c r="B36" s="600" t="s">
        <v>264</v>
      </c>
      <c r="C36" s="601" t="s">
        <v>205</v>
      </c>
      <c r="D36" s="627" t="s">
        <v>450</v>
      </c>
      <c r="E36" s="600" t="s">
        <v>48</v>
      </c>
      <c r="F36" s="600">
        <v>1</v>
      </c>
      <c r="G36" s="603" t="s">
        <v>166</v>
      </c>
      <c r="H36" s="604" t="s">
        <v>294</v>
      </c>
      <c r="I36" s="600" t="s">
        <v>443</v>
      </c>
      <c r="J36" s="600" t="s">
        <v>35</v>
      </c>
      <c r="K36" s="600" t="s">
        <v>37</v>
      </c>
      <c r="L36" s="605">
        <v>150000000</v>
      </c>
      <c r="M36" s="606">
        <v>150000000</v>
      </c>
      <c r="N36" s="600" t="s">
        <v>51</v>
      </c>
      <c r="O36" s="600" t="s">
        <v>36</v>
      </c>
      <c r="P36" s="600" t="s">
        <v>320</v>
      </c>
      <c r="Q36" s="80"/>
      <c r="R36" s="623"/>
      <c r="S36" s="608"/>
      <c r="T36" s="608"/>
      <c r="U36" s="608"/>
      <c r="V36" s="608"/>
      <c r="W36" s="608"/>
      <c r="X36" s="608"/>
      <c r="Y36" s="608"/>
      <c r="Z36" s="608"/>
      <c r="AA36" s="608"/>
      <c r="AB36" s="608"/>
      <c r="AC36" s="608"/>
      <c r="AD36" s="608"/>
      <c r="AE36" s="608"/>
      <c r="AF36" s="608"/>
      <c r="AG36" s="608"/>
      <c r="AH36" s="608"/>
      <c r="AI36" s="608"/>
      <c r="AJ36" s="608"/>
      <c r="AK36" s="608"/>
      <c r="AL36" s="608"/>
      <c r="AM36" s="608"/>
    </row>
    <row r="37" spans="1:39" ht="93" hidden="1" x14ac:dyDescent="0.25">
      <c r="A37" s="599">
        <f t="shared" si="2"/>
        <v>18</v>
      </c>
      <c r="B37" s="600" t="s">
        <v>316</v>
      </c>
      <c r="C37" s="601" t="s">
        <v>451</v>
      </c>
      <c r="D37" s="602" t="s">
        <v>452</v>
      </c>
      <c r="E37" s="600" t="s">
        <v>48</v>
      </c>
      <c r="F37" s="600">
        <v>1</v>
      </c>
      <c r="G37" s="603" t="s">
        <v>79</v>
      </c>
      <c r="H37" s="604" t="s">
        <v>156</v>
      </c>
      <c r="I37" s="600" t="s">
        <v>55</v>
      </c>
      <c r="J37" s="600" t="s">
        <v>35</v>
      </c>
      <c r="K37" s="600" t="s">
        <v>453</v>
      </c>
      <c r="L37" s="605">
        <v>20000000</v>
      </c>
      <c r="M37" s="606">
        <v>20000000</v>
      </c>
      <c r="N37" s="600" t="s">
        <v>51</v>
      </c>
      <c r="O37" s="600" t="s">
        <v>36</v>
      </c>
      <c r="P37" s="600" t="s">
        <v>320</v>
      </c>
      <c r="Q37" s="80"/>
      <c r="R37" s="623"/>
      <c r="S37" s="608"/>
      <c r="T37" s="608"/>
      <c r="U37" s="608"/>
      <c r="V37" s="608"/>
      <c r="W37" s="608"/>
      <c r="X37" s="608"/>
      <c r="Y37" s="608"/>
      <c r="Z37" s="608"/>
      <c r="AA37" s="608"/>
      <c r="AB37" s="608"/>
      <c r="AC37" s="608"/>
      <c r="AD37" s="608"/>
      <c r="AE37" s="608"/>
      <c r="AF37" s="608"/>
      <c r="AG37" s="608"/>
      <c r="AH37" s="608"/>
      <c r="AI37" s="608"/>
      <c r="AJ37" s="608"/>
      <c r="AK37" s="608"/>
      <c r="AL37" s="608"/>
      <c r="AM37" s="608"/>
    </row>
    <row r="38" spans="1:39" ht="93" hidden="1" x14ac:dyDescent="0.25">
      <c r="A38" s="599">
        <f t="shared" si="2"/>
        <v>19</v>
      </c>
      <c r="B38" s="600" t="s">
        <v>316</v>
      </c>
      <c r="C38" s="601" t="s">
        <v>454</v>
      </c>
      <c r="D38" s="627" t="s">
        <v>455</v>
      </c>
      <c r="E38" s="600" t="s">
        <v>48</v>
      </c>
      <c r="F38" s="600">
        <v>1</v>
      </c>
      <c r="G38" s="603" t="s">
        <v>78</v>
      </c>
      <c r="H38" s="604" t="s">
        <v>157</v>
      </c>
      <c r="I38" s="600" t="s">
        <v>456</v>
      </c>
      <c r="J38" s="600" t="s">
        <v>35</v>
      </c>
      <c r="K38" s="600" t="s">
        <v>441</v>
      </c>
      <c r="L38" s="605">
        <v>52000000</v>
      </c>
      <c r="M38" s="606">
        <v>52000000</v>
      </c>
      <c r="N38" s="600" t="s">
        <v>51</v>
      </c>
      <c r="O38" s="600" t="s">
        <v>36</v>
      </c>
      <c r="P38" s="600" t="s">
        <v>320</v>
      </c>
      <c r="Q38" s="80"/>
      <c r="R38" s="623"/>
      <c r="S38" s="608"/>
      <c r="T38" s="608"/>
      <c r="U38" s="608"/>
      <c r="V38" s="608"/>
      <c r="W38" s="608"/>
      <c r="X38" s="608"/>
      <c r="Y38" s="608"/>
      <c r="Z38" s="608"/>
      <c r="AA38" s="608"/>
      <c r="AB38" s="608"/>
      <c r="AC38" s="608"/>
      <c r="AD38" s="608"/>
      <c r="AE38" s="608"/>
      <c r="AF38" s="608"/>
      <c r="AG38" s="608"/>
      <c r="AH38" s="608"/>
      <c r="AI38" s="608"/>
      <c r="AJ38" s="608"/>
      <c r="AK38" s="608"/>
      <c r="AL38" s="608"/>
      <c r="AM38" s="608"/>
    </row>
    <row r="39" spans="1:39" ht="93" hidden="1" x14ac:dyDescent="0.25">
      <c r="A39" s="599">
        <f t="shared" si="2"/>
        <v>20</v>
      </c>
      <c r="B39" s="600" t="s">
        <v>264</v>
      </c>
      <c r="C39" s="601">
        <v>27110000</v>
      </c>
      <c r="D39" s="602" t="s">
        <v>181</v>
      </c>
      <c r="E39" s="600" t="s">
        <v>48</v>
      </c>
      <c r="F39" s="600">
        <v>1</v>
      </c>
      <c r="G39" s="603" t="s">
        <v>75</v>
      </c>
      <c r="H39" s="604" t="s">
        <v>156</v>
      </c>
      <c r="I39" s="600" t="s">
        <v>55</v>
      </c>
      <c r="J39" s="600" t="s">
        <v>35</v>
      </c>
      <c r="K39" s="600" t="s">
        <v>44</v>
      </c>
      <c r="L39" s="605">
        <v>5000000</v>
      </c>
      <c r="M39" s="606">
        <v>5000000</v>
      </c>
      <c r="N39" s="600" t="s">
        <v>51</v>
      </c>
      <c r="O39" s="600" t="s">
        <v>36</v>
      </c>
      <c r="P39" s="600" t="s">
        <v>320</v>
      </c>
      <c r="Q39" s="80"/>
      <c r="R39" s="623"/>
      <c r="S39" s="608"/>
      <c r="T39" s="608"/>
      <c r="U39" s="608"/>
      <c r="V39" s="608"/>
      <c r="W39" s="608"/>
      <c r="X39" s="608"/>
      <c r="Y39" s="608"/>
      <c r="Z39" s="608"/>
      <c r="AA39" s="608"/>
      <c r="AB39" s="608"/>
      <c r="AC39" s="608"/>
      <c r="AD39" s="608"/>
      <c r="AE39" s="608"/>
      <c r="AF39" s="608"/>
      <c r="AG39" s="608"/>
      <c r="AH39" s="608"/>
      <c r="AI39" s="608"/>
      <c r="AJ39" s="608"/>
      <c r="AK39" s="608"/>
      <c r="AL39" s="608"/>
      <c r="AM39" s="608"/>
    </row>
    <row r="40" spans="1:39" ht="93" hidden="1" x14ac:dyDescent="0.25">
      <c r="A40" s="599">
        <f t="shared" si="2"/>
        <v>21</v>
      </c>
      <c r="B40" s="600" t="s">
        <v>264</v>
      </c>
      <c r="C40" s="601">
        <v>84131512</v>
      </c>
      <c r="D40" s="602" t="s">
        <v>183</v>
      </c>
      <c r="E40" s="600" t="s">
        <v>48</v>
      </c>
      <c r="F40" s="600">
        <v>1</v>
      </c>
      <c r="G40" s="603" t="s">
        <v>81</v>
      </c>
      <c r="H40" s="604">
        <v>12</v>
      </c>
      <c r="I40" s="600" t="s">
        <v>55</v>
      </c>
      <c r="J40" s="600" t="s">
        <v>35</v>
      </c>
      <c r="K40" s="600" t="s">
        <v>39</v>
      </c>
      <c r="L40" s="605">
        <v>10000000</v>
      </c>
      <c r="M40" s="606">
        <v>10000000</v>
      </c>
      <c r="N40" s="600" t="s">
        <v>51</v>
      </c>
      <c r="O40" s="600" t="s">
        <v>36</v>
      </c>
      <c r="P40" s="600" t="s">
        <v>320</v>
      </c>
      <c r="Q40" s="80"/>
      <c r="R40" s="623"/>
      <c r="S40" s="608"/>
      <c r="T40" s="608"/>
      <c r="U40" s="608"/>
      <c r="V40" s="608"/>
      <c r="W40" s="608"/>
      <c r="X40" s="608"/>
      <c r="Y40" s="608"/>
      <c r="Z40" s="608"/>
      <c r="AA40" s="608"/>
      <c r="AB40" s="608"/>
      <c r="AC40" s="608"/>
      <c r="AD40" s="608"/>
      <c r="AE40" s="608"/>
      <c r="AF40" s="608"/>
      <c r="AG40" s="608"/>
      <c r="AH40" s="608"/>
      <c r="AI40" s="608"/>
      <c r="AJ40" s="608"/>
      <c r="AK40" s="608"/>
      <c r="AL40" s="608"/>
      <c r="AM40" s="608"/>
    </row>
    <row r="41" spans="1:39" ht="93" hidden="1" x14ac:dyDescent="0.25">
      <c r="A41" s="599">
        <f t="shared" si="2"/>
        <v>22</v>
      </c>
      <c r="B41" s="600" t="s">
        <v>316</v>
      </c>
      <c r="C41" s="601" t="s">
        <v>310</v>
      </c>
      <c r="D41" s="627" t="s">
        <v>442</v>
      </c>
      <c r="E41" s="600" t="s">
        <v>48</v>
      </c>
      <c r="F41" s="600">
        <v>1</v>
      </c>
      <c r="G41" s="603" t="s">
        <v>78</v>
      </c>
      <c r="H41" s="604" t="s">
        <v>157</v>
      </c>
      <c r="I41" s="600" t="s">
        <v>443</v>
      </c>
      <c r="J41" s="600" t="s">
        <v>35</v>
      </c>
      <c r="K41" s="600" t="s">
        <v>46</v>
      </c>
      <c r="L41" s="605">
        <v>125000000</v>
      </c>
      <c r="M41" s="606">
        <v>125000000</v>
      </c>
      <c r="N41" s="600" t="s">
        <v>51</v>
      </c>
      <c r="O41" s="600" t="s">
        <v>36</v>
      </c>
      <c r="P41" s="600" t="s">
        <v>320</v>
      </c>
      <c r="Q41" s="80"/>
      <c r="R41" s="623"/>
      <c r="S41" s="608"/>
      <c r="T41" s="608"/>
      <c r="U41" s="608"/>
      <c r="V41" s="608"/>
      <c r="W41" s="608"/>
      <c r="X41" s="608"/>
      <c r="Y41" s="608"/>
      <c r="Z41" s="608"/>
      <c r="AA41" s="608"/>
      <c r="AB41" s="608"/>
      <c r="AC41" s="608"/>
      <c r="AD41" s="608"/>
      <c r="AE41" s="608"/>
      <c r="AF41" s="608"/>
      <c r="AG41" s="608"/>
      <c r="AH41" s="608"/>
      <c r="AI41" s="608"/>
      <c r="AJ41" s="608"/>
      <c r="AK41" s="608"/>
      <c r="AL41" s="608"/>
      <c r="AM41" s="608"/>
    </row>
    <row r="42" spans="1:39" ht="93" hidden="1" x14ac:dyDescent="0.25">
      <c r="A42" s="599">
        <f t="shared" si="2"/>
        <v>23</v>
      </c>
      <c r="B42" s="600" t="s">
        <v>264</v>
      </c>
      <c r="C42" s="601">
        <v>44101501</v>
      </c>
      <c r="D42" s="602" t="s">
        <v>464</v>
      </c>
      <c r="E42" s="600" t="s">
        <v>48</v>
      </c>
      <c r="F42" s="600">
        <v>1</v>
      </c>
      <c r="G42" s="603" t="s">
        <v>78</v>
      </c>
      <c r="H42" s="604">
        <v>2</v>
      </c>
      <c r="I42" s="600" t="s">
        <v>55</v>
      </c>
      <c r="J42" s="600" t="s">
        <v>35</v>
      </c>
      <c r="K42" s="600" t="s">
        <v>195</v>
      </c>
      <c r="L42" s="605">
        <v>20000000</v>
      </c>
      <c r="M42" s="605">
        <v>20000000</v>
      </c>
      <c r="N42" s="600" t="s">
        <v>51</v>
      </c>
      <c r="O42" s="600" t="s">
        <v>36</v>
      </c>
      <c r="P42" s="600" t="s">
        <v>320</v>
      </c>
      <c r="Q42" s="80"/>
      <c r="R42" s="623"/>
      <c r="S42" s="608"/>
      <c r="T42" s="608"/>
      <c r="U42" s="608"/>
      <c r="V42" s="608"/>
      <c r="W42" s="608"/>
      <c r="X42" s="608"/>
      <c r="Y42" s="608"/>
      <c r="Z42" s="608"/>
      <c r="AA42" s="608"/>
      <c r="AB42" s="608"/>
      <c r="AC42" s="608"/>
      <c r="AD42" s="608"/>
      <c r="AE42" s="608"/>
      <c r="AF42" s="608"/>
      <c r="AG42" s="608"/>
      <c r="AH42" s="608"/>
      <c r="AI42" s="608"/>
      <c r="AJ42" s="608"/>
      <c r="AK42" s="608"/>
      <c r="AL42" s="608"/>
      <c r="AM42" s="608"/>
    </row>
    <row r="43" spans="1:39" ht="121.15" hidden="1" customHeight="1" x14ac:dyDescent="0.25">
      <c r="A43" s="599">
        <f t="shared" si="2"/>
        <v>24</v>
      </c>
      <c r="B43" s="600" t="s">
        <v>316</v>
      </c>
      <c r="C43" s="601">
        <v>78180000</v>
      </c>
      <c r="D43" s="602" t="s">
        <v>459</v>
      </c>
      <c r="E43" s="600" t="s">
        <v>48</v>
      </c>
      <c r="F43" s="600">
        <v>1</v>
      </c>
      <c r="G43" s="603" t="s">
        <v>80</v>
      </c>
      <c r="H43" s="604" t="s">
        <v>460</v>
      </c>
      <c r="I43" s="600" t="s">
        <v>443</v>
      </c>
      <c r="J43" s="600" t="s">
        <v>35</v>
      </c>
      <c r="K43" s="600" t="s">
        <v>461</v>
      </c>
      <c r="L43" s="605">
        <v>140000000</v>
      </c>
      <c r="M43" s="606">
        <v>20000000</v>
      </c>
      <c r="N43" s="600" t="s">
        <v>49</v>
      </c>
      <c r="O43" s="600" t="s">
        <v>447</v>
      </c>
      <c r="P43" s="600" t="s">
        <v>320</v>
      </c>
      <c r="Q43" s="80"/>
      <c r="R43" s="623"/>
      <c r="S43" s="608"/>
      <c r="T43" s="608"/>
      <c r="U43" s="608"/>
      <c r="V43" s="608"/>
      <c r="W43" s="608"/>
      <c r="X43" s="608"/>
      <c r="Y43" s="608"/>
      <c r="Z43" s="608"/>
      <c r="AA43" s="608"/>
      <c r="AB43" s="608"/>
      <c r="AC43" s="608"/>
      <c r="AD43" s="608"/>
      <c r="AE43" s="608"/>
      <c r="AF43" s="608"/>
      <c r="AG43" s="608"/>
      <c r="AH43" s="608"/>
      <c r="AI43" s="608"/>
      <c r="AJ43" s="608"/>
      <c r="AK43" s="608"/>
      <c r="AL43" s="608"/>
      <c r="AM43" s="608"/>
    </row>
    <row r="44" spans="1:39" ht="93" hidden="1" x14ac:dyDescent="0.25">
      <c r="A44" s="599">
        <f t="shared" si="2"/>
        <v>25</v>
      </c>
      <c r="B44" s="600" t="s">
        <v>316</v>
      </c>
      <c r="C44" s="601">
        <v>92101501</v>
      </c>
      <c r="D44" s="602" t="s">
        <v>462</v>
      </c>
      <c r="E44" s="600" t="s">
        <v>48</v>
      </c>
      <c r="F44" s="600">
        <v>1</v>
      </c>
      <c r="G44" s="603" t="s">
        <v>80</v>
      </c>
      <c r="H44" s="604" t="s">
        <v>460</v>
      </c>
      <c r="I44" s="600" t="s">
        <v>226</v>
      </c>
      <c r="J44" s="600" t="s">
        <v>35</v>
      </c>
      <c r="K44" s="600" t="s">
        <v>463</v>
      </c>
      <c r="L44" s="605">
        <v>646695000</v>
      </c>
      <c r="M44" s="606">
        <v>80526523</v>
      </c>
      <c r="N44" s="600" t="s">
        <v>49</v>
      </c>
      <c r="O44" s="600" t="s">
        <v>447</v>
      </c>
      <c r="P44" s="600" t="s">
        <v>320</v>
      </c>
      <c r="Q44" s="80"/>
      <c r="R44" s="623"/>
      <c r="S44" s="608"/>
      <c r="T44" s="608"/>
      <c r="U44" s="608"/>
      <c r="V44" s="608"/>
      <c r="W44" s="608"/>
      <c r="X44" s="608"/>
      <c r="Y44" s="608"/>
      <c r="Z44" s="608"/>
      <c r="AA44" s="608"/>
      <c r="AB44" s="608"/>
      <c r="AC44" s="608"/>
      <c r="AD44" s="608"/>
      <c r="AE44" s="608"/>
      <c r="AF44" s="608"/>
      <c r="AG44" s="608"/>
      <c r="AH44" s="608"/>
      <c r="AI44" s="608"/>
      <c r="AJ44" s="608"/>
      <c r="AK44" s="608"/>
      <c r="AL44" s="608"/>
      <c r="AM44" s="608"/>
    </row>
    <row r="45" spans="1:39" ht="93" hidden="1" x14ac:dyDescent="0.25">
      <c r="A45" s="599">
        <f t="shared" si="2"/>
        <v>26</v>
      </c>
      <c r="B45" s="600" t="s">
        <v>264</v>
      </c>
      <c r="C45" s="601">
        <v>44110000</v>
      </c>
      <c r="D45" s="602" t="s">
        <v>228</v>
      </c>
      <c r="E45" s="600" t="s">
        <v>48</v>
      </c>
      <c r="F45" s="600">
        <v>1</v>
      </c>
      <c r="G45" s="603" t="s">
        <v>78</v>
      </c>
      <c r="H45" s="604" t="s">
        <v>156</v>
      </c>
      <c r="I45" s="600" t="s">
        <v>55</v>
      </c>
      <c r="J45" s="600" t="s">
        <v>35</v>
      </c>
      <c r="K45" s="600" t="s">
        <v>41</v>
      </c>
      <c r="L45" s="605">
        <v>450000</v>
      </c>
      <c r="M45" s="606">
        <v>450000</v>
      </c>
      <c r="N45" s="600" t="s">
        <v>51</v>
      </c>
      <c r="O45" s="600" t="s">
        <v>36</v>
      </c>
      <c r="P45" s="600" t="s">
        <v>320</v>
      </c>
      <c r="Q45" s="80"/>
      <c r="R45" s="623"/>
      <c r="S45" s="608"/>
      <c r="T45" s="608"/>
      <c r="U45" s="608"/>
      <c r="V45" s="608"/>
      <c r="W45" s="608"/>
      <c r="X45" s="608"/>
      <c r="Y45" s="608"/>
      <c r="Z45" s="608"/>
      <c r="AA45" s="608"/>
      <c r="AB45" s="608"/>
      <c r="AC45" s="608"/>
      <c r="AD45" s="608"/>
      <c r="AE45" s="608"/>
      <c r="AF45" s="608"/>
      <c r="AG45" s="608"/>
      <c r="AH45" s="608"/>
      <c r="AI45" s="608"/>
      <c r="AJ45" s="608"/>
      <c r="AK45" s="608"/>
      <c r="AL45" s="608"/>
      <c r="AM45" s="608"/>
    </row>
    <row r="46" spans="1:39" ht="93" hidden="1" x14ac:dyDescent="0.25">
      <c r="A46" s="599">
        <f t="shared" si="2"/>
        <v>27</v>
      </c>
      <c r="B46" s="600" t="s">
        <v>264</v>
      </c>
      <c r="C46" s="601">
        <v>81111820</v>
      </c>
      <c r="D46" s="602" t="s">
        <v>588</v>
      </c>
      <c r="E46" s="600" t="s">
        <v>48</v>
      </c>
      <c r="F46" s="600">
        <v>1</v>
      </c>
      <c r="G46" s="603" t="s">
        <v>73</v>
      </c>
      <c r="H46" s="604">
        <v>12</v>
      </c>
      <c r="I46" s="600" t="s">
        <v>61</v>
      </c>
      <c r="J46" s="600" t="s">
        <v>35</v>
      </c>
      <c r="K46" s="600" t="s">
        <v>37</v>
      </c>
      <c r="L46" s="605">
        <v>13014073</v>
      </c>
      <c r="M46" s="606">
        <v>13014073</v>
      </c>
      <c r="N46" s="600" t="s">
        <v>51</v>
      </c>
      <c r="O46" s="600" t="s">
        <v>36</v>
      </c>
      <c r="P46" s="600" t="s">
        <v>320</v>
      </c>
      <c r="Q46" s="80"/>
      <c r="R46" s="623"/>
      <c r="S46" s="608"/>
      <c r="T46" s="608"/>
      <c r="U46" s="608"/>
      <c r="V46" s="608"/>
      <c r="W46" s="608"/>
      <c r="X46" s="608"/>
      <c r="Y46" s="608"/>
      <c r="Z46" s="608"/>
      <c r="AA46" s="608"/>
      <c r="AB46" s="608"/>
      <c r="AC46" s="608"/>
      <c r="AD46" s="608"/>
      <c r="AE46" s="608"/>
      <c r="AF46" s="608"/>
      <c r="AG46" s="608"/>
      <c r="AH46" s="608"/>
      <c r="AI46" s="608"/>
      <c r="AJ46" s="608"/>
      <c r="AK46" s="608"/>
      <c r="AL46" s="608"/>
      <c r="AM46" s="608"/>
    </row>
    <row r="47" spans="1:39" ht="93" hidden="1" x14ac:dyDescent="0.25">
      <c r="A47" s="599">
        <f t="shared" si="2"/>
        <v>28</v>
      </c>
      <c r="B47" s="600" t="s">
        <v>492</v>
      </c>
      <c r="C47" s="601">
        <v>43211701</v>
      </c>
      <c r="D47" s="602" t="s">
        <v>493</v>
      </c>
      <c r="E47" s="600" t="s">
        <v>48</v>
      </c>
      <c r="F47" s="600">
        <v>1</v>
      </c>
      <c r="G47" s="603" t="s">
        <v>75</v>
      </c>
      <c r="H47" s="604" t="s">
        <v>156</v>
      </c>
      <c r="I47" s="600" t="s">
        <v>53</v>
      </c>
      <c r="J47" s="600" t="s">
        <v>35</v>
      </c>
      <c r="K47" s="600" t="s">
        <v>195</v>
      </c>
      <c r="L47" s="605">
        <v>20000000</v>
      </c>
      <c r="M47" s="606">
        <v>20000000</v>
      </c>
      <c r="N47" s="600" t="s">
        <v>51</v>
      </c>
      <c r="O47" s="600" t="s">
        <v>36</v>
      </c>
      <c r="P47" s="600" t="s">
        <v>308</v>
      </c>
      <c r="Q47" s="80"/>
      <c r="R47" s="624"/>
      <c r="S47" s="608"/>
      <c r="T47" s="608"/>
      <c r="U47" s="608"/>
      <c r="V47" s="608"/>
      <c r="W47" s="608"/>
      <c r="X47" s="608"/>
      <c r="Y47" s="608"/>
      <c r="Z47" s="608"/>
      <c r="AA47" s="608"/>
      <c r="AB47" s="608"/>
      <c r="AC47" s="608"/>
      <c r="AD47" s="608"/>
      <c r="AE47" s="608"/>
      <c r="AF47" s="608"/>
      <c r="AG47" s="608"/>
      <c r="AH47" s="608"/>
      <c r="AI47" s="608"/>
      <c r="AJ47" s="608"/>
      <c r="AK47" s="608"/>
      <c r="AL47" s="608"/>
      <c r="AM47" s="608"/>
    </row>
    <row r="48" spans="1:39" ht="93" hidden="1" x14ac:dyDescent="0.25">
      <c r="A48" s="599">
        <f t="shared" si="2"/>
        <v>29</v>
      </c>
      <c r="B48" s="600" t="s">
        <v>264</v>
      </c>
      <c r="C48" s="601">
        <v>44101706</v>
      </c>
      <c r="D48" s="602" t="s">
        <v>465</v>
      </c>
      <c r="E48" s="600" t="s">
        <v>48</v>
      </c>
      <c r="F48" s="600">
        <v>1</v>
      </c>
      <c r="G48" s="603" t="s">
        <v>75</v>
      </c>
      <c r="H48" s="604">
        <v>2</v>
      </c>
      <c r="I48" s="600" t="s">
        <v>53</v>
      </c>
      <c r="J48" s="600" t="s">
        <v>35</v>
      </c>
      <c r="K48" s="600" t="s">
        <v>44</v>
      </c>
      <c r="L48" s="605">
        <v>3000000</v>
      </c>
      <c r="M48" s="605">
        <v>3000000</v>
      </c>
      <c r="N48" s="600" t="s">
        <v>51</v>
      </c>
      <c r="O48" s="600" t="s">
        <v>36</v>
      </c>
      <c r="P48" s="600" t="s">
        <v>320</v>
      </c>
      <c r="Q48" s="80"/>
      <c r="R48" s="623"/>
      <c r="S48" s="608"/>
      <c r="T48" s="608"/>
      <c r="U48" s="608"/>
      <c r="V48" s="608"/>
      <c r="W48" s="608"/>
      <c r="X48" s="608"/>
      <c r="Y48" s="608"/>
      <c r="Z48" s="608"/>
      <c r="AA48" s="608"/>
      <c r="AB48" s="608"/>
      <c r="AC48" s="608"/>
      <c r="AD48" s="608"/>
      <c r="AE48" s="608"/>
      <c r="AF48" s="608"/>
      <c r="AG48" s="608"/>
      <c r="AH48" s="608"/>
      <c r="AI48" s="608"/>
      <c r="AJ48" s="608"/>
      <c r="AK48" s="608"/>
      <c r="AL48" s="608"/>
      <c r="AM48" s="608"/>
    </row>
    <row r="49" spans="1:39" ht="116.25" hidden="1" x14ac:dyDescent="0.25">
      <c r="A49" s="599">
        <f t="shared" si="2"/>
        <v>30</v>
      </c>
      <c r="B49" s="600" t="s">
        <v>547</v>
      </c>
      <c r="C49" s="601">
        <v>204415</v>
      </c>
      <c r="D49" s="602" t="s">
        <v>548</v>
      </c>
      <c r="E49" s="600" t="s">
        <v>48</v>
      </c>
      <c r="F49" s="600">
        <v>1</v>
      </c>
      <c r="G49" s="603" t="s">
        <v>80</v>
      </c>
      <c r="H49" s="604" t="s">
        <v>156</v>
      </c>
      <c r="I49" s="600" t="s">
        <v>173</v>
      </c>
      <c r="J49" s="600" t="s">
        <v>35</v>
      </c>
      <c r="K49" s="600" t="s">
        <v>195</v>
      </c>
      <c r="L49" s="605">
        <v>200000</v>
      </c>
      <c r="M49" s="606">
        <v>200000</v>
      </c>
      <c r="N49" s="600" t="s">
        <v>51</v>
      </c>
      <c r="O49" s="600" t="s">
        <v>36</v>
      </c>
      <c r="P49" s="600" t="s">
        <v>546</v>
      </c>
      <c r="Q49" s="80"/>
      <c r="R49" s="626"/>
      <c r="S49" s="608"/>
      <c r="T49" s="608"/>
      <c r="U49" s="608"/>
      <c r="V49" s="608"/>
      <c r="W49" s="608"/>
      <c r="X49" s="608"/>
      <c r="Y49" s="608"/>
      <c r="Z49" s="608"/>
      <c r="AA49" s="608"/>
      <c r="AB49" s="608"/>
      <c r="AC49" s="608"/>
      <c r="AD49" s="608"/>
      <c r="AE49" s="608"/>
      <c r="AF49" s="608"/>
      <c r="AG49" s="608"/>
      <c r="AH49" s="608"/>
      <c r="AI49" s="608"/>
      <c r="AJ49" s="608"/>
      <c r="AK49" s="608"/>
      <c r="AL49" s="608"/>
      <c r="AM49" s="608"/>
    </row>
    <row r="50" spans="1:39" ht="93" hidden="1" x14ac:dyDescent="0.25">
      <c r="A50" s="599">
        <f t="shared" si="2"/>
        <v>31</v>
      </c>
      <c r="B50" s="600" t="s">
        <v>316</v>
      </c>
      <c r="C50" s="601">
        <v>72152302</v>
      </c>
      <c r="D50" s="602" t="s">
        <v>467</v>
      </c>
      <c r="E50" s="600" t="s">
        <v>59</v>
      </c>
      <c r="F50" s="600">
        <v>1</v>
      </c>
      <c r="G50" s="603" t="s">
        <v>80</v>
      </c>
      <c r="H50" s="604" t="s">
        <v>156</v>
      </c>
      <c r="I50" s="600" t="s">
        <v>55</v>
      </c>
      <c r="J50" s="600" t="s">
        <v>35</v>
      </c>
      <c r="K50" s="600" t="s">
        <v>37</v>
      </c>
      <c r="L50" s="605">
        <v>1400000</v>
      </c>
      <c r="M50" s="605">
        <v>1400000</v>
      </c>
      <c r="N50" s="600" t="s">
        <v>51</v>
      </c>
      <c r="O50" s="600" t="s">
        <v>36</v>
      </c>
      <c r="P50" s="600" t="s">
        <v>320</v>
      </c>
      <c r="Q50" s="80"/>
      <c r="R50" s="623"/>
      <c r="S50" s="608"/>
      <c r="T50" s="608"/>
      <c r="U50" s="608"/>
      <c r="V50" s="608"/>
      <c r="W50" s="608"/>
      <c r="X50" s="608"/>
      <c r="Y50" s="608"/>
      <c r="Z50" s="608"/>
      <c r="AA50" s="608"/>
      <c r="AB50" s="608"/>
      <c r="AC50" s="608"/>
      <c r="AD50" s="608"/>
      <c r="AE50" s="608"/>
      <c r="AF50" s="608"/>
      <c r="AG50" s="608"/>
      <c r="AH50" s="608"/>
      <c r="AI50" s="608"/>
      <c r="AJ50" s="608"/>
      <c r="AK50" s="608"/>
      <c r="AL50" s="608"/>
      <c r="AM50" s="608"/>
    </row>
    <row r="51" spans="1:39" ht="93" hidden="1" x14ac:dyDescent="0.25">
      <c r="A51" s="599">
        <f t="shared" si="2"/>
        <v>32</v>
      </c>
      <c r="B51" s="600" t="s">
        <v>316</v>
      </c>
      <c r="C51" s="601">
        <v>56120000</v>
      </c>
      <c r="D51" s="602" t="s">
        <v>297</v>
      </c>
      <c r="E51" s="600" t="s">
        <v>48</v>
      </c>
      <c r="F51" s="600">
        <v>1</v>
      </c>
      <c r="G51" s="603" t="s">
        <v>81</v>
      </c>
      <c r="H51" s="604" t="s">
        <v>157</v>
      </c>
      <c r="I51" s="600" t="s">
        <v>55</v>
      </c>
      <c r="J51" s="600" t="s">
        <v>35</v>
      </c>
      <c r="K51" s="600" t="s">
        <v>296</v>
      </c>
      <c r="L51" s="605">
        <v>20000000</v>
      </c>
      <c r="M51" s="606">
        <v>20000000</v>
      </c>
      <c r="N51" s="600" t="s">
        <v>51</v>
      </c>
      <c r="O51" s="600" t="s">
        <v>36</v>
      </c>
      <c r="P51" s="600" t="s">
        <v>320</v>
      </c>
      <c r="Q51" s="80"/>
      <c r="R51" s="623"/>
      <c r="S51" s="608"/>
      <c r="T51" s="608"/>
      <c r="U51" s="608"/>
      <c r="V51" s="608"/>
      <c r="W51" s="608"/>
      <c r="X51" s="608"/>
      <c r="Y51" s="608"/>
      <c r="Z51" s="608"/>
      <c r="AA51" s="608"/>
      <c r="AB51" s="608"/>
      <c r="AC51" s="608"/>
      <c r="AD51" s="608"/>
      <c r="AE51" s="608"/>
      <c r="AF51" s="608"/>
      <c r="AG51" s="608"/>
      <c r="AH51" s="608"/>
      <c r="AI51" s="608"/>
      <c r="AJ51" s="608"/>
      <c r="AK51" s="608"/>
      <c r="AL51" s="608"/>
      <c r="AM51" s="608"/>
    </row>
    <row r="52" spans="1:39" ht="93" hidden="1" x14ac:dyDescent="0.25">
      <c r="A52" s="599">
        <f t="shared" si="2"/>
        <v>33</v>
      </c>
      <c r="B52" s="600" t="s">
        <v>316</v>
      </c>
      <c r="C52" s="601" t="s">
        <v>205</v>
      </c>
      <c r="D52" s="627" t="s">
        <v>444</v>
      </c>
      <c r="E52" s="600" t="s">
        <v>48</v>
      </c>
      <c r="F52" s="600">
        <v>1</v>
      </c>
      <c r="G52" s="603" t="s">
        <v>75</v>
      </c>
      <c r="H52" s="604" t="s">
        <v>157</v>
      </c>
      <c r="I52" s="600" t="s">
        <v>226</v>
      </c>
      <c r="J52" s="600" t="s">
        <v>35</v>
      </c>
      <c r="K52" s="600" t="s">
        <v>46</v>
      </c>
      <c r="L52" s="605">
        <v>220000000</v>
      </c>
      <c r="M52" s="606">
        <v>220000000</v>
      </c>
      <c r="N52" s="600" t="s">
        <v>51</v>
      </c>
      <c r="O52" s="600" t="s">
        <v>36</v>
      </c>
      <c r="P52" s="600" t="s">
        <v>320</v>
      </c>
      <c r="Q52" s="80"/>
      <c r="R52" s="623"/>
      <c r="S52" s="608"/>
      <c r="T52" s="608"/>
      <c r="U52" s="608"/>
      <c r="V52" s="608"/>
      <c r="W52" s="608"/>
      <c r="X52" s="608"/>
      <c r="Y52" s="608"/>
      <c r="Z52" s="608"/>
      <c r="AA52" s="608"/>
      <c r="AB52" s="608"/>
      <c r="AC52" s="608"/>
      <c r="AD52" s="608"/>
      <c r="AE52" s="608"/>
      <c r="AF52" s="608"/>
      <c r="AG52" s="608"/>
      <c r="AH52" s="608"/>
      <c r="AI52" s="608"/>
      <c r="AJ52" s="608"/>
      <c r="AK52" s="608"/>
      <c r="AL52" s="608"/>
      <c r="AM52" s="608"/>
    </row>
    <row r="53" spans="1:39" ht="119.45" hidden="1" customHeight="1" x14ac:dyDescent="0.25">
      <c r="A53" s="599">
        <f t="shared" si="2"/>
        <v>34</v>
      </c>
      <c r="B53" s="600" t="s">
        <v>316</v>
      </c>
      <c r="C53" s="601" t="s">
        <v>205</v>
      </c>
      <c r="D53" s="627" t="s">
        <v>457</v>
      </c>
      <c r="E53" s="600" t="s">
        <v>48</v>
      </c>
      <c r="F53" s="600">
        <v>1</v>
      </c>
      <c r="G53" s="603" t="s">
        <v>76</v>
      </c>
      <c r="H53" s="604" t="s">
        <v>157</v>
      </c>
      <c r="I53" s="600" t="s">
        <v>55</v>
      </c>
      <c r="J53" s="600" t="s">
        <v>35</v>
      </c>
      <c r="K53" s="600" t="s">
        <v>46</v>
      </c>
      <c r="L53" s="605">
        <v>21000000</v>
      </c>
      <c r="M53" s="606">
        <v>21000000</v>
      </c>
      <c r="N53" s="600" t="s">
        <v>51</v>
      </c>
      <c r="O53" s="600" t="s">
        <v>36</v>
      </c>
      <c r="P53" s="600" t="s">
        <v>320</v>
      </c>
      <c r="Q53" s="80"/>
      <c r="R53" s="623"/>
      <c r="S53" s="608"/>
      <c r="T53" s="608"/>
      <c r="U53" s="608"/>
      <c r="V53" s="608"/>
      <c r="W53" s="608"/>
      <c r="X53" s="608"/>
      <c r="Y53" s="608"/>
      <c r="Z53" s="608"/>
      <c r="AA53" s="608"/>
      <c r="AB53" s="608"/>
      <c r="AC53" s="608"/>
      <c r="AD53" s="608"/>
      <c r="AE53" s="608"/>
      <c r="AF53" s="608"/>
      <c r="AG53" s="608"/>
      <c r="AH53" s="608"/>
      <c r="AI53" s="608"/>
      <c r="AJ53" s="608"/>
      <c r="AK53" s="608"/>
      <c r="AL53" s="608"/>
      <c r="AM53" s="608"/>
    </row>
    <row r="54" spans="1:39" ht="93" hidden="1" x14ac:dyDescent="0.25">
      <c r="A54" s="599">
        <f t="shared" si="2"/>
        <v>35</v>
      </c>
      <c r="B54" s="600" t="s">
        <v>316</v>
      </c>
      <c r="C54" s="601" t="s">
        <v>470</v>
      </c>
      <c r="D54" s="602" t="s">
        <v>471</v>
      </c>
      <c r="E54" s="600" t="s">
        <v>48</v>
      </c>
      <c r="F54" s="600">
        <v>1</v>
      </c>
      <c r="G54" s="603" t="s">
        <v>80</v>
      </c>
      <c r="H54" s="604" t="s">
        <v>250</v>
      </c>
      <c r="I54" s="600" t="s">
        <v>55</v>
      </c>
      <c r="J54" s="600" t="s">
        <v>35</v>
      </c>
      <c r="K54" s="600" t="s">
        <v>37</v>
      </c>
      <c r="L54" s="605">
        <v>5000000</v>
      </c>
      <c r="M54" s="606">
        <v>5000000</v>
      </c>
      <c r="N54" s="600" t="s">
        <v>51</v>
      </c>
      <c r="O54" s="600" t="s">
        <v>36</v>
      </c>
      <c r="P54" s="600" t="s">
        <v>320</v>
      </c>
      <c r="Q54" s="80"/>
      <c r="R54" s="623"/>
      <c r="S54" s="608"/>
      <c r="T54" s="608"/>
      <c r="U54" s="608"/>
      <c r="V54" s="608"/>
      <c r="W54" s="608"/>
      <c r="X54" s="608"/>
      <c r="Y54" s="608"/>
      <c r="Z54" s="608"/>
      <c r="AA54" s="608"/>
      <c r="AB54" s="608"/>
      <c r="AC54" s="608"/>
      <c r="AD54" s="608"/>
      <c r="AE54" s="608"/>
      <c r="AF54" s="608"/>
      <c r="AG54" s="608"/>
      <c r="AH54" s="608"/>
      <c r="AI54" s="608"/>
      <c r="AJ54" s="608"/>
      <c r="AK54" s="608"/>
      <c r="AL54" s="608"/>
      <c r="AM54" s="608"/>
    </row>
    <row r="55" spans="1:39" ht="116.25" hidden="1" x14ac:dyDescent="0.25">
      <c r="A55" s="599">
        <f t="shared" si="2"/>
        <v>36</v>
      </c>
      <c r="B55" s="600" t="s">
        <v>316</v>
      </c>
      <c r="C55" s="601" t="s">
        <v>317</v>
      </c>
      <c r="D55" s="602" t="s">
        <v>318</v>
      </c>
      <c r="E55" s="600" t="s">
        <v>48</v>
      </c>
      <c r="F55" s="600">
        <v>1</v>
      </c>
      <c r="G55" s="603" t="s">
        <v>76</v>
      </c>
      <c r="H55" s="604" t="s">
        <v>156</v>
      </c>
      <c r="I55" s="600" t="s">
        <v>53</v>
      </c>
      <c r="J55" s="600" t="s">
        <v>35</v>
      </c>
      <c r="K55" s="600" t="s">
        <v>41</v>
      </c>
      <c r="L55" s="605">
        <v>1500000</v>
      </c>
      <c r="M55" s="606">
        <v>1500000</v>
      </c>
      <c r="N55" s="600" t="s">
        <v>51</v>
      </c>
      <c r="O55" s="600" t="s">
        <v>36</v>
      </c>
      <c r="P55" s="600" t="s">
        <v>319</v>
      </c>
      <c r="Q55" s="80"/>
      <c r="R55" s="623"/>
      <c r="S55" s="608"/>
      <c r="T55" s="608"/>
      <c r="U55" s="608"/>
      <c r="V55" s="608"/>
      <c r="W55" s="608"/>
      <c r="X55" s="608"/>
      <c r="Y55" s="608"/>
      <c r="Z55" s="608"/>
      <c r="AA55" s="608"/>
      <c r="AB55" s="608"/>
      <c r="AC55" s="608"/>
      <c r="AD55" s="608"/>
      <c r="AE55" s="608"/>
      <c r="AF55" s="608"/>
      <c r="AG55" s="608"/>
      <c r="AH55" s="608"/>
      <c r="AI55" s="608"/>
      <c r="AJ55" s="608"/>
      <c r="AK55" s="608"/>
      <c r="AL55" s="608"/>
      <c r="AM55" s="608"/>
    </row>
    <row r="56" spans="1:39" ht="93" hidden="1" x14ac:dyDescent="0.25">
      <c r="A56" s="599">
        <f t="shared" si="2"/>
        <v>37</v>
      </c>
      <c r="B56" s="600" t="s">
        <v>316</v>
      </c>
      <c r="C56" s="601" t="s">
        <v>71</v>
      </c>
      <c r="D56" s="602" t="s">
        <v>227</v>
      </c>
      <c r="E56" s="600" t="s">
        <v>48</v>
      </c>
      <c r="F56" s="600">
        <v>1</v>
      </c>
      <c r="G56" s="603" t="s">
        <v>73</v>
      </c>
      <c r="H56" s="604" t="s">
        <v>472</v>
      </c>
      <c r="I56" s="600" t="s">
        <v>50</v>
      </c>
      <c r="J56" s="600" t="s">
        <v>35</v>
      </c>
      <c r="K56" s="600" t="s">
        <v>203</v>
      </c>
      <c r="L56" s="605">
        <v>35000000</v>
      </c>
      <c r="M56" s="606">
        <v>35000000</v>
      </c>
      <c r="N56" s="600" t="s">
        <v>51</v>
      </c>
      <c r="O56" s="600" t="s">
        <v>36</v>
      </c>
      <c r="P56" s="600" t="s">
        <v>320</v>
      </c>
      <c r="Q56" s="80"/>
      <c r="R56" s="624"/>
      <c r="S56" s="608"/>
      <c r="T56" s="608"/>
      <c r="U56" s="608"/>
      <c r="V56" s="608"/>
      <c r="W56" s="608"/>
      <c r="X56" s="608"/>
      <c r="Y56" s="608"/>
      <c r="Z56" s="608"/>
      <c r="AA56" s="608"/>
      <c r="AB56" s="608"/>
      <c r="AC56" s="608"/>
      <c r="AD56" s="608"/>
      <c r="AE56" s="608"/>
      <c r="AF56" s="608"/>
      <c r="AG56" s="608"/>
      <c r="AH56" s="608"/>
      <c r="AI56" s="608"/>
      <c r="AJ56" s="608"/>
      <c r="AK56" s="608"/>
      <c r="AL56" s="608"/>
      <c r="AM56" s="608"/>
    </row>
    <row r="57" spans="1:39" ht="93" hidden="1" x14ac:dyDescent="0.25">
      <c r="A57" s="599">
        <f t="shared" si="2"/>
        <v>38</v>
      </c>
      <c r="B57" s="600" t="s">
        <v>316</v>
      </c>
      <c r="C57" s="601">
        <v>80101706</v>
      </c>
      <c r="D57" s="627" t="s">
        <v>473</v>
      </c>
      <c r="E57" s="600" t="s">
        <v>48</v>
      </c>
      <c r="F57" s="600">
        <v>1</v>
      </c>
      <c r="G57" s="603" t="s">
        <v>73</v>
      </c>
      <c r="H57" s="604" t="s">
        <v>194</v>
      </c>
      <c r="I57" s="600" t="s">
        <v>61</v>
      </c>
      <c r="J57" s="600" t="s">
        <v>35</v>
      </c>
      <c r="K57" s="600" t="s">
        <v>441</v>
      </c>
      <c r="L57" s="605">
        <v>1600000</v>
      </c>
      <c r="M57" s="606">
        <v>1600000</v>
      </c>
      <c r="N57" s="600" t="s">
        <v>51</v>
      </c>
      <c r="O57" s="600" t="s">
        <v>36</v>
      </c>
      <c r="P57" s="600" t="s">
        <v>320</v>
      </c>
      <c r="Q57" s="80"/>
      <c r="R57" s="623"/>
      <c r="S57" s="608"/>
      <c r="T57" s="608"/>
      <c r="U57" s="608"/>
      <c r="V57" s="608"/>
      <c r="W57" s="608"/>
      <c r="X57" s="608"/>
      <c r="Y57" s="608"/>
      <c r="Z57" s="608"/>
      <c r="AA57" s="608"/>
      <c r="AB57" s="608"/>
      <c r="AC57" s="608"/>
      <c r="AD57" s="608"/>
      <c r="AE57" s="608"/>
      <c r="AF57" s="608"/>
      <c r="AG57" s="608"/>
      <c r="AH57" s="608"/>
      <c r="AI57" s="608"/>
      <c r="AJ57" s="608"/>
      <c r="AK57" s="608"/>
      <c r="AL57" s="608"/>
      <c r="AM57" s="608"/>
    </row>
    <row r="58" spans="1:39" ht="93" hidden="1" x14ac:dyDescent="0.25">
      <c r="A58" s="599">
        <f t="shared" ref="A58:A89" si="3">SUM(A57+1)</f>
        <v>39</v>
      </c>
      <c r="B58" s="600" t="s">
        <v>265</v>
      </c>
      <c r="C58" s="601">
        <v>80101706</v>
      </c>
      <c r="D58" s="602" t="s">
        <v>503</v>
      </c>
      <c r="E58" s="600" t="s">
        <v>48</v>
      </c>
      <c r="F58" s="600">
        <v>1</v>
      </c>
      <c r="G58" s="603" t="s">
        <v>73</v>
      </c>
      <c r="H58" s="604">
        <v>5</v>
      </c>
      <c r="I58" s="600" t="s">
        <v>61</v>
      </c>
      <c r="J58" s="600" t="s">
        <v>66</v>
      </c>
      <c r="K58" s="600" t="s">
        <v>475</v>
      </c>
      <c r="L58" s="605">
        <v>22500000</v>
      </c>
      <c r="M58" s="606">
        <v>22500000</v>
      </c>
      <c r="N58" s="600" t="s">
        <v>51</v>
      </c>
      <c r="O58" s="600" t="s">
        <v>36</v>
      </c>
      <c r="P58" s="600" t="s">
        <v>504</v>
      </c>
      <c r="Q58" s="80"/>
      <c r="R58" s="625" t="s">
        <v>556</v>
      </c>
      <c r="S58" s="608"/>
      <c r="T58" s="608"/>
      <c r="U58" s="608"/>
      <c r="V58" s="608"/>
      <c r="W58" s="608"/>
      <c r="X58" s="608"/>
      <c r="Y58" s="608"/>
      <c r="Z58" s="608"/>
      <c r="AA58" s="608"/>
      <c r="AB58" s="608"/>
      <c r="AC58" s="608"/>
      <c r="AD58" s="608"/>
      <c r="AE58" s="608"/>
      <c r="AF58" s="608"/>
      <c r="AG58" s="608"/>
      <c r="AH58" s="608"/>
      <c r="AI58" s="608"/>
      <c r="AJ58" s="608"/>
      <c r="AK58" s="608"/>
      <c r="AL58" s="608"/>
      <c r="AM58" s="608"/>
    </row>
    <row r="59" spans="1:39" ht="111" hidden="1" customHeight="1" x14ac:dyDescent="0.25">
      <c r="A59" s="599">
        <f t="shared" si="3"/>
        <v>40</v>
      </c>
      <c r="B59" s="600" t="s">
        <v>476</v>
      </c>
      <c r="C59" s="601" t="s">
        <v>252</v>
      </c>
      <c r="D59" s="602" t="s">
        <v>251</v>
      </c>
      <c r="E59" s="600" t="s">
        <v>48</v>
      </c>
      <c r="F59" s="600">
        <v>1</v>
      </c>
      <c r="G59" s="603" t="s">
        <v>80</v>
      </c>
      <c r="H59" s="604" t="s">
        <v>194</v>
      </c>
      <c r="I59" s="600" t="s">
        <v>55</v>
      </c>
      <c r="J59" s="600" t="s">
        <v>35</v>
      </c>
      <c r="K59" s="600" t="s">
        <v>161</v>
      </c>
      <c r="L59" s="605">
        <v>10000000</v>
      </c>
      <c r="M59" s="606">
        <v>10000000</v>
      </c>
      <c r="N59" s="600" t="s">
        <v>51</v>
      </c>
      <c r="O59" s="600" t="s">
        <v>36</v>
      </c>
      <c r="P59" s="600" t="s">
        <v>477</v>
      </c>
      <c r="Q59" s="80"/>
      <c r="R59" s="623"/>
      <c r="S59" s="608"/>
      <c r="T59" s="608"/>
      <c r="U59" s="608"/>
      <c r="V59" s="608"/>
      <c r="W59" s="608"/>
      <c r="X59" s="608"/>
      <c r="Y59" s="608"/>
      <c r="Z59" s="608"/>
      <c r="AA59" s="608"/>
      <c r="AB59" s="608"/>
      <c r="AC59" s="608"/>
      <c r="AD59" s="608"/>
      <c r="AE59" s="608"/>
      <c r="AF59" s="608"/>
      <c r="AG59" s="608"/>
      <c r="AH59" s="608"/>
      <c r="AI59" s="608"/>
      <c r="AJ59" s="608"/>
      <c r="AK59" s="608"/>
      <c r="AL59" s="608"/>
      <c r="AM59" s="608"/>
    </row>
    <row r="60" spans="1:39" ht="139.5" hidden="1" x14ac:dyDescent="0.25">
      <c r="A60" s="599">
        <f t="shared" si="3"/>
        <v>41</v>
      </c>
      <c r="B60" s="600" t="s">
        <v>476</v>
      </c>
      <c r="C60" s="601">
        <v>78102200</v>
      </c>
      <c r="D60" s="602" t="s">
        <v>196</v>
      </c>
      <c r="E60" s="600" t="s">
        <v>48</v>
      </c>
      <c r="F60" s="600">
        <v>1</v>
      </c>
      <c r="G60" s="603" t="s">
        <v>79</v>
      </c>
      <c r="H60" s="604" t="s">
        <v>460</v>
      </c>
      <c r="I60" s="600" t="s">
        <v>61</v>
      </c>
      <c r="J60" s="600" t="s">
        <v>35</v>
      </c>
      <c r="K60" s="600" t="s">
        <v>58</v>
      </c>
      <c r="L60" s="605">
        <v>444017000</v>
      </c>
      <c r="M60" s="606">
        <v>10500000</v>
      </c>
      <c r="N60" s="600" t="s">
        <v>49</v>
      </c>
      <c r="O60" s="600" t="s">
        <v>447</v>
      </c>
      <c r="P60" s="600" t="s">
        <v>477</v>
      </c>
      <c r="Q60" s="80"/>
      <c r="R60" s="623"/>
      <c r="S60" s="608"/>
      <c r="T60" s="608"/>
      <c r="U60" s="608"/>
      <c r="V60" s="608"/>
      <c r="W60" s="608"/>
      <c r="X60" s="608"/>
      <c r="Y60" s="608"/>
      <c r="Z60" s="608"/>
      <c r="AA60" s="608"/>
      <c r="AB60" s="608"/>
      <c r="AC60" s="608"/>
      <c r="AD60" s="608"/>
      <c r="AE60" s="608"/>
      <c r="AF60" s="608"/>
      <c r="AG60" s="608"/>
      <c r="AH60" s="608"/>
      <c r="AI60" s="608"/>
      <c r="AJ60" s="608"/>
      <c r="AK60" s="608"/>
      <c r="AL60" s="608"/>
      <c r="AM60" s="608"/>
    </row>
    <row r="61" spans="1:39" ht="145.9" hidden="1" customHeight="1" x14ac:dyDescent="0.25">
      <c r="A61" s="599">
        <f t="shared" si="3"/>
        <v>42</v>
      </c>
      <c r="B61" s="600" t="s">
        <v>316</v>
      </c>
      <c r="C61" s="601" t="s">
        <v>310</v>
      </c>
      <c r="D61" s="602" t="s">
        <v>309</v>
      </c>
      <c r="E61" s="600" t="s">
        <v>48</v>
      </c>
      <c r="F61" s="600">
        <v>1</v>
      </c>
      <c r="G61" s="603" t="s">
        <v>75</v>
      </c>
      <c r="H61" s="604" t="s">
        <v>232</v>
      </c>
      <c r="I61" s="600" t="s">
        <v>305</v>
      </c>
      <c r="J61" s="600" t="s">
        <v>35</v>
      </c>
      <c r="K61" s="600" t="s">
        <v>46</v>
      </c>
      <c r="L61" s="605">
        <v>30000000</v>
      </c>
      <c r="M61" s="606">
        <v>30000000</v>
      </c>
      <c r="N61" s="600" t="s">
        <v>51</v>
      </c>
      <c r="O61" s="600" t="s">
        <v>36</v>
      </c>
      <c r="P61" s="600" t="s">
        <v>320</v>
      </c>
      <c r="Q61" s="80"/>
      <c r="R61" s="623"/>
      <c r="S61" s="608"/>
      <c r="T61" s="608"/>
      <c r="U61" s="608"/>
      <c r="V61" s="608"/>
      <c r="W61" s="608"/>
      <c r="X61" s="608"/>
      <c r="Y61" s="608"/>
      <c r="Z61" s="608"/>
      <c r="AA61" s="608"/>
      <c r="AB61" s="608"/>
      <c r="AC61" s="608"/>
      <c r="AD61" s="608"/>
      <c r="AE61" s="608"/>
      <c r="AF61" s="608"/>
      <c r="AG61" s="608"/>
      <c r="AH61" s="608"/>
      <c r="AI61" s="608"/>
      <c r="AJ61" s="608"/>
      <c r="AK61" s="608"/>
      <c r="AL61" s="608"/>
      <c r="AM61" s="608"/>
    </row>
    <row r="62" spans="1:39" ht="93" hidden="1" x14ac:dyDescent="0.25">
      <c r="A62" s="599">
        <f t="shared" si="3"/>
        <v>43</v>
      </c>
      <c r="B62" s="600" t="s">
        <v>478</v>
      </c>
      <c r="C62" s="601">
        <v>41110000</v>
      </c>
      <c r="D62" s="602" t="s">
        <v>479</v>
      </c>
      <c r="E62" s="600" t="s">
        <v>48</v>
      </c>
      <c r="F62" s="600">
        <v>1</v>
      </c>
      <c r="G62" s="603" t="s">
        <v>75</v>
      </c>
      <c r="H62" s="604" t="s">
        <v>156</v>
      </c>
      <c r="I62" s="600" t="s">
        <v>55</v>
      </c>
      <c r="J62" s="600" t="s">
        <v>35</v>
      </c>
      <c r="K62" s="600" t="s">
        <v>41</v>
      </c>
      <c r="L62" s="605">
        <v>382336</v>
      </c>
      <c r="M62" s="606">
        <v>382336</v>
      </c>
      <c r="N62" s="600" t="s">
        <v>51</v>
      </c>
      <c r="O62" s="600" t="s">
        <v>36</v>
      </c>
      <c r="P62" s="600" t="s">
        <v>477</v>
      </c>
      <c r="Q62" s="80"/>
      <c r="R62" s="623"/>
      <c r="S62" s="608"/>
      <c r="T62" s="608"/>
      <c r="U62" s="608"/>
      <c r="V62" s="608"/>
      <c r="W62" s="608"/>
      <c r="X62" s="608"/>
      <c r="Y62" s="608"/>
      <c r="Z62" s="608"/>
      <c r="AA62" s="608"/>
      <c r="AB62" s="608"/>
      <c r="AC62" s="608"/>
      <c r="AD62" s="608"/>
      <c r="AE62" s="608"/>
      <c r="AF62" s="608"/>
      <c r="AG62" s="608"/>
      <c r="AH62" s="608"/>
      <c r="AI62" s="608"/>
      <c r="AJ62" s="608"/>
      <c r="AK62" s="608"/>
      <c r="AL62" s="608"/>
      <c r="AM62" s="608"/>
    </row>
    <row r="63" spans="1:39" ht="93" hidden="1" x14ac:dyDescent="0.25">
      <c r="A63" s="599">
        <f t="shared" si="3"/>
        <v>44</v>
      </c>
      <c r="B63" s="600" t="s">
        <v>478</v>
      </c>
      <c r="C63" s="601">
        <v>44103124</v>
      </c>
      <c r="D63" s="602" t="s">
        <v>480</v>
      </c>
      <c r="E63" s="600" t="s">
        <v>48</v>
      </c>
      <c r="F63" s="600">
        <v>1</v>
      </c>
      <c r="G63" s="603" t="s">
        <v>75</v>
      </c>
      <c r="H63" s="604" t="s">
        <v>156</v>
      </c>
      <c r="I63" s="600" t="s">
        <v>55</v>
      </c>
      <c r="J63" s="600" t="s">
        <v>35</v>
      </c>
      <c r="K63" s="600" t="s">
        <v>41</v>
      </c>
      <c r="L63" s="605">
        <v>450000</v>
      </c>
      <c r="M63" s="606">
        <v>450000</v>
      </c>
      <c r="N63" s="600" t="s">
        <v>51</v>
      </c>
      <c r="O63" s="600" t="s">
        <v>36</v>
      </c>
      <c r="P63" s="600" t="s">
        <v>477</v>
      </c>
      <c r="Q63" s="80"/>
      <c r="R63" s="623"/>
      <c r="S63" s="608"/>
      <c r="T63" s="608"/>
      <c r="U63" s="608"/>
      <c r="V63" s="608"/>
      <c r="W63" s="608"/>
      <c r="X63" s="608"/>
      <c r="Y63" s="608"/>
      <c r="Z63" s="608"/>
      <c r="AA63" s="608"/>
      <c r="AB63" s="608"/>
      <c r="AC63" s="608"/>
      <c r="AD63" s="608"/>
      <c r="AE63" s="608"/>
      <c r="AF63" s="608"/>
      <c r="AG63" s="608"/>
      <c r="AH63" s="608"/>
      <c r="AI63" s="608"/>
      <c r="AJ63" s="608"/>
      <c r="AK63" s="608"/>
      <c r="AL63" s="608"/>
      <c r="AM63" s="608"/>
    </row>
    <row r="64" spans="1:39" ht="93" hidden="1" x14ac:dyDescent="0.25">
      <c r="A64" s="599">
        <f t="shared" si="3"/>
        <v>45</v>
      </c>
      <c r="B64" s="600" t="s">
        <v>478</v>
      </c>
      <c r="C64" s="601">
        <v>44121634</v>
      </c>
      <c r="D64" s="602" t="s">
        <v>481</v>
      </c>
      <c r="E64" s="600" t="s">
        <v>48</v>
      </c>
      <c r="F64" s="600">
        <v>1</v>
      </c>
      <c r="G64" s="603" t="s">
        <v>75</v>
      </c>
      <c r="H64" s="604" t="s">
        <v>156</v>
      </c>
      <c r="I64" s="600" t="s">
        <v>55</v>
      </c>
      <c r="J64" s="600" t="s">
        <v>35</v>
      </c>
      <c r="K64" s="600" t="s">
        <v>41</v>
      </c>
      <c r="L64" s="605">
        <v>300000</v>
      </c>
      <c r="M64" s="606">
        <v>300000</v>
      </c>
      <c r="N64" s="600" t="s">
        <v>51</v>
      </c>
      <c r="O64" s="600" t="s">
        <v>36</v>
      </c>
      <c r="P64" s="600" t="s">
        <v>477</v>
      </c>
      <c r="Q64" s="80"/>
      <c r="R64" s="623"/>
      <c r="S64" s="608"/>
      <c r="T64" s="608"/>
      <c r="U64" s="608"/>
      <c r="V64" s="608"/>
      <c r="W64" s="608"/>
      <c r="X64" s="608"/>
      <c r="Y64" s="608"/>
      <c r="Z64" s="608"/>
      <c r="AA64" s="608"/>
      <c r="AB64" s="608"/>
      <c r="AC64" s="608"/>
      <c r="AD64" s="608"/>
      <c r="AE64" s="608"/>
      <c r="AF64" s="608"/>
      <c r="AG64" s="608"/>
      <c r="AH64" s="608"/>
      <c r="AI64" s="608"/>
      <c r="AJ64" s="608"/>
      <c r="AK64" s="608"/>
      <c r="AL64" s="608"/>
      <c r="AM64" s="608"/>
    </row>
    <row r="65" spans="1:39" ht="93" hidden="1" x14ac:dyDescent="0.25">
      <c r="A65" s="599">
        <f t="shared" si="3"/>
        <v>46</v>
      </c>
      <c r="B65" s="600" t="s">
        <v>478</v>
      </c>
      <c r="C65" s="601">
        <v>44122003</v>
      </c>
      <c r="D65" s="602" t="s">
        <v>482</v>
      </c>
      <c r="E65" s="600" t="s">
        <v>48</v>
      </c>
      <c r="F65" s="600">
        <v>1</v>
      </c>
      <c r="G65" s="603" t="s">
        <v>75</v>
      </c>
      <c r="H65" s="604" t="s">
        <v>156</v>
      </c>
      <c r="I65" s="600" t="s">
        <v>55</v>
      </c>
      <c r="J65" s="600" t="s">
        <v>35</v>
      </c>
      <c r="K65" s="600" t="s">
        <v>41</v>
      </c>
      <c r="L65" s="605">
        <v>4800000</v>
      </c>
      <c r="M65" s="606">
        <v>4800000</v>
      </c>
      <c r="N65" s="600" t="s">
        <v>51</v>
      </c>
      <c r="O65" s="600" t="s">
        <v>36</v>
      </c>
      <c r="P65" s="600" t="s">
        <v>477</v>
      </c>
      <c r="Q65" s="80"/>
      <c r="R65" s="623"/>
      <c r="S65" s="608"/>
      <c r="T65" s="608"/>
      <c r="U65" s="608"/>
      <c r="V65" s="608"/>
      <c r="W65" s="608"/>
      <c r="X65" s="608"/>
      <c r="Y65" s="608"/>
      <c r="Z65" s="608"/>
      <c r="AA65" s="608"/>
      <c r="AB65" s="608"/>
      <c r="AC65" s="608"/>
      <c r="AD65" s="608"/>
      <c r="AE65" s="608"/>
      <c r="AF65" s="608"/>
      <c r="AG65" s="608"/>
      <c r="AH65" s="608"/>
      <c r="AI65" s="608"/>
      <c r="AJ65" s="608"/>
      <c r="AK65" s="608"/>
      <c r="AL65" s="608"/>
      <c r="AM65" s="608"/>
    </row>
    <row r="66" spans="1:39" ht="93" hidden="1" x14ac:dyDescent="0.25">
      <c r="A66" s="599">
        <f t="shared" si="3"/>
        <v>47</v>
      </c>
      <c r="B66" s="600" t="s">
        <v>478</v>
      </c>
      <c r="C66" s="601">
        <v>44111515</v>
      </c>
      <c r="D66" s="602" t="s">
        <v>483</v>
      </c>
      <c r="E66" s="600" t="s">
        <v>48</v>
      </c>
      <c r="F66" s="600">
        <v>1</v>
      </c>
      <c r="G66" s="603" t="s">
        <v>75</v>
      </c>
      <c r="H66" s="604" t="s">
        <v>156</v>
      </c>
      <c r="I66" s="600" t="s">
        <v>55</v>
      </c>
      <c r="J66" s="600" t="s">
        <v>35</v>
      </c>
      <c r="K66" s="600" t="s">
        <v>41</v>
      </c>
      <c r="L66" s="605">
        <v>1537500</v>
      </c>
      <c r="M66" s="606">
        <v>1537500</v>
      </c>
      <c r="N66" s="600" t="s">
        <v>51</v>
      </c>
      <c r="O66" s="600" t="s">
        <v>36</v>
      </c>
      <c r="P66" s="600" t="s">
        <v>477</v>
      </c>
      <c r="Q66" s="80"/>
      <c r="R66" s="623"/>
      <c r="S66" s="608"/>
      <c r="T66" s="608"/>
      <c r="U66" s="608"/>
      <c r="V66" s="608"/>
      <c r="W66" s="608"/>
      <c r="X66" s="608"/>
      <c r="Y66" s="608"/>
      <c r="Z66" s="608"/>
      <c r="AA66" s="608"/>
      <c r="AB66" s="608"/>
      <c r="AC66" s="608"/>
      <c r="AD66" s="608"/>
      <c r="AE66" s="608"/>
      <c r="AF66" s="608"/>
      <c r="AG66" s="608"/>
      <c r="AH66" s="608"/>
      <c r="AI66" s="608"/>
      <c r="AJ66" s="608"/>
      <c r="AK66" s="608"/>
      <c r="AL66" s="608"/>
      <c r="AM66" s="608"/>
    </row>
    <row r="67" spans="1:39" ht="139.5" hidden="1" x14ac:dyDescent="0.25">
      <c r="A67" s="599">
        <f t="shared" si="3"/>
        <v>48</v>
      </c>
      <c r="B67" s="600" t="s">
        <v>484</v>
      </c>
      <c r="C67" s="601" t="s">
        <v>70</v>
      </c>
      <c r="D67" s="602" t="s">
        <v>197</v>
      </c>
      <c r="E67" s="600" t="s">
        <v>48</v>
      </c>
      <c r="F67" s="600">
        <v>1</v>
      </c>
      <c r="G67" s="603" t="s">
        <v>78</v>
      </c>
      <c r="H67" s="604">
        <v>10</v>
      </c>
      <c r="I67" s="600" t="s">
        <v>173</v>
      </c>
      <c r="J67" s="600" t="s">
        <v>35</v>
      </c>
      <c r="K67" s="600" t="s">
        <v>42</v>
      </c>
      <c r="L67" s="605">
        <v>24000000</v>
      </c>
      <c r="M67" s="606">
        <v>24000000</v>
      </c>
      <c r="N67" s="600" t="s">
        <v>51</v>
      </c>
      <c r="O67" s="600" t="s">
        <v>36</v>
      </c>
      <c r="P67" s="600" t="s">
        <v>319</v>
      </c>
      <c r="Q67" s="80"/>
      <c r="R67" s="623"/>
      <c r="S67" s="608"/>
      <c r="T67" s="608"/>
      <c r="U67" s="608"/>
      <c r="V67" s="608"/>
      <c r="W67" s="608"/>
      <c r="X67" s="608"/>
      <c r="Y67" s="608"/>
      <c r="Z67" s="608"/>
      <c r="AA67" s="608"/>
      <c r="AB67" s="608"/>
      <c r="AC67" s="608"/>
      <c r="AD67" s="608"/>
      <c r="AE67" s="608"/>
      <c r="AF67" s="608"/>
      <c r="AG67" s="608"/>
      <c r="AH67" s="608"/>
      <c r="AI67" s="608"/>
      <c r="AJ67" s="608"/>
      <c r="AK67" s="608"/>
      <c r="AL67" s="608"/>
      <c r="AM67" s="608"/>
    </row>
    <row r="68" spans="1:39" ht="139.5" hidden="1" x14ac:dyDescent="0.25">
      <c r="A68" s="599">
        <f t="shared" si="3"/>
        <v>49</v>
      </c>
      <c r="B68" s="600" t="s">
        <v>484</v>
      </c>
      <c r="C68" s="601" t="s">
        <v>70</v>
      </c>
      <c r="D68" s="627" t="s">
        <v>313</v>
      </c>
      <c r="E68" s="600" t="s">
        <v>48</v>
      </c>
      <c r="F68" s="600">
        <v>1</v>
      </c>
      <c r="G68" s="603" t="s">
        <v>180</v>
      </c>
      <c r="H68" s="604" t="s">
        <v>156</v>
      </c>
      <c r="I68" s="600" t="s">
        <v>173</v>
      </c>
      <c r="J68" s="600" t="s">
        <v>35</v>
      </c>
      <c r="K68" s="600" t="s">
        <v>42</v>
      </c>
      <c r="L68" s="605">
        <v>10000000</v>
      </c>
      <c r="M68" s="606">
        <v>10000000</v>
      </c>
      <c r="N68" s="600" t="s">
        <v>51</v>
      </c>
      <c r="O68" s="600" t="s">
        <v>36</v>
      </c>
      <c r="P68" s="600" t="s">
        <v>319</v>
      </c>
      <c r="Q68" s="80"/>
      <c r="R68" s="623"/>
      <c r="S68" s="608"/>
      <c r="T68" s="608"/>
      <c r="U68" s="608"/>
      <c r="V68" s="608"/>
      <c r="W68" s="608"/>
      <c r="X68" s="608"/>
      <c r="Y68" s="608"/>
      <c r="Z68" s="608"/>
      <c r="AA68" s="608"/>
      <c r="AB68" s="608"/>
      <c r="AC68" s="608"/>
      <c r="AD68" s="608"/>
      <c r="AE68" s="608"/>
      <c r="AF68" s="608"/>
      <c r="AG68" s="608"/>
      <c r="AH68" s="608"/>
      <c r="AI68" s="608"/>
      <c r="AJ68" s="608"/>
      <c r="AK68" s="608"/>
      <c r="AL68" s="608"/>
      <c r="AM68" s="608"/>
    </row>
    <row r="69" spans="1:39" ht="116.25" hidden="1" x14ac:dyDescent="0.25">
      <c r="A69" s="599">
        <f t="shared" si="3"/>
        <v>50</v>
      </c>
      <c r="B69" s="600" t="s">
        <v>484</v>
      </c>
      <c r="C69" s="601">
        <v>80101706</v>
      </c>
      <c r="D69" s="602" t="s">
        <v>63</v>
      </c>
      <c r="E69" s="600" t="s">
        <v>48</v>
      </c>
      <c r="F69" s="600">
        <v>1</v>
      </c>
      <c r="G69" s="603" t="s">
        <v>80</v>
      </c>
      <c r="H69" s="604">
        <v>11</v>
      </c>
      <c r="I69" s="600" t="s">
        <v>55</v>
      </c>
      <c r="J69" s="600" t="s">
        <v>35</v>
      </c>
      <c r="K69" s="600" t="s">
        <v>43</v>
      </c>
      <c r="L69" s="605">
        <v>10075000</v>
      </c>
      <c r="M69" s="606">
        <v>10075000</v>
      </c>
      <c r="N69" s="600" t="s">
        <v>51</v>
      </c>
      <c r="O69" s="600" t="s">
        <v>36</v>
      </c>
      <c r="P69" s="600" t="s">
        <v>319</v>
      </c>
      <c r="Q69" s="80"/>
      <c r="R69" s="624"/>
      <c r="S69" s="608"/>
      <c r="T69" s="608"/>
      <c r="U69" s="608"/>
      <c r="V69" s="608"/>
      <c r="W69" s="608"/>
      <c r="X69" s="608"/>
      <c r="Y69" s="608"/>
      <c r="Z69" s="608"/>
      <c r="AA69" s="608"/>
      <c r="AB69" s="608"/>
      <c r="AC69" s="608"/>
      <c r="AD69" s="608"/>
      <c r="AE69" s="608"/>
      <c r="AF69" s="608"/>
      <c r="AG69" s="608"/>
      <c r="AH69" s="608"/>
      <c r="AI69" s="608"/>
      <c r="AJ69" s="608"/>
      <c r="AK69" s="608"/>
      <c r="AL69" s="608"/>
      <c r="AM69" s="608"/>
    </row>
    <row r="70" spans="1:39" ht="86.45" hidden="1" customHeight="1" x14ac:dyDescent="0.25">
      <c r="A70" s="599">
        <f t="shared" si="3"/>
        <v>51</v>
      </c>
      <c r="B70" s="600" t="s">
        <v>484</v>
      </c>
      <c r="C70" s="601">
        <v>78111803</v>
      </c>
      <c r="D70" s="602" t="s">
        <v>64</v>
      </c>
      <c r="E70" s="600" t="s">
        <v>48</v>
      </c>
      <c r="F70" s="600">
        <v>1</v>
      </c>
      <c r="G70" s="603" t="s">
        <v>180</v>
      </c>
      <c r="H70" s="604" t="s">
        <v>156</v>
      </c>
      <c r="I70" s="600" t="s">
        <v>55</v>
      </c>
      <c r="J70" s="600" t="s">
        <v>35</v>
      </c>
      <c r="K70" s="600" t="s">
        <v>43</v>
      </c>
      <c r="L70" s="605">
        <v>15000000</v>
      </c>
      <c r="M70" s="606">
        <v>15000000</v>
      </c>
      <c r="N70" s="600" t="s">
        <v>51</v>
      </c>
      <c r="O70" s="600" t="s">
        <v>36</v>
      </c>
      <c r="P70" s="600" t="s">
        <v>319</v>
      </c>
      <c r="Q70" s="80"/>
      <c r="R70" s="624"/>
      <c r="S70" s="608"/>
      <c r="T70" s="608"/>
      <c r="U70" s="608"/>
      <c r="V70" s="608"/>
      <c r="W70" s="608"/>
      <c r="X70" s="608"/>
      <c r="Y70" s="608"/>
      <c r="Z70" s="608"/>
      <c r="AA70" s="608"/>
      <c r="AB70" s="608"/>
      <c r="AC70" s="608"/>
      <c r="AD70" s="608"/>
      <c r="AE70" s="608"/>
      <c r="AF70" s="608"/>
      <c r="AG70" s="608"/>
      <c r="AH70" s="608"/>
      <c r="AI70" s="608"/>
      <c r="AJ70" s="608"/>
      <c r="AK70" s="608"/>
      <c r="AL70" s="608"/>
      <c r="AM70" s="608"/>
    </row>
    <row r="71" spans="1:39" ht="69.75" hidden="1" x14ac:dyDescent="0.25">
      <c r="A71" s="599">
        <f t="shared" si="3"/>
        <v>52</v>
      </c>
      <c r="B71" s="600" t="s">
        <v>484</v>
      </c>
      <c r="C71" s="601" t="s">
        <v>72</v>
      </c>
      <c r="D71" s="602" t="s">
        <v>65</v>
      </c>
      <c r="E71" s="600" t="s">
        <v>48</v>
      </c>
      <c r="F71" s="600">
        <v>1</v>
      </c>
      <c r="G71" s="603" t="s">
        <v>180</v>
      </c>
      <c r="H71" s="604" t="s">
        <v>156</v>
      </c>
      <c r="I71" s="600" t="s">
        <v>55</v>
      </c>
      <c r="J71" s="600" t="s">
        <v>35</v>
      </c>
      <c r="K71" s="600" t="s">
        <v>45</v>
      </c>
      <c r="L71" s="637">
        <v>17000000</v>
      </c>
      <c r="M71" s="638">
        <v>17000000</v>
      </c>
      <c r="N71" s="600" t="s">
        <v>51</v>
      </c>
      <c r="O71" s="600" t="s">
        <v>36</v>
      </c>
      <c r="P71" s="600" t="s">
        <v>319</v>
      </c>
      <c r="Q71" s="80"/>
      <c r="R71" s="624"/>
      <c r="S71" s="608"/>
      <c r="T71" s="608"/>
      <c r="U71" s="608"/>
      <c r="V71" s="608"/>
      <c r="W71" s="608"/>
      <c r="X71" s="608"/>
      <c r="Y71" s="608"/>
      <c r="Z71" s="608"/>
      <c r="AA71" s="608"/>
      <c r="AB71" s="608"/>
      <c r="AC71" s="608"/>
      <c r="AD71" s="608"/>
      <c r="AE71" s="608"/>
      <c r="AF71" s="608"/>
      <c r="AG71" s="608"/>
      <c r="AH71" s="608"/>
      <c r="AI71" s="608"/>
      <c r="AJ71" s="608"/>
      <c r="AK71" s="608"/>
      <c r="AL71" s="608"/>
      <c r="AM71" s="608"/>
    </row>
    <row r="72" spans="1:39" ht="93" hidden="1" x14ac:dyDescent="0.25">
      <c r="A72" s="599">
        <f t="shared" si="3"/>
        <v>53</v>
      </c>
      <c r="B72" s="600" t="s">
        <v>316</v>
      </c>
      <c r="C72" s="601">
        <v>5216512</v>
      </c>
      <c r="D72" s="627" t="s">
        <v>458</v>
      </c>
      <c r="E72" s="600" t="s">
        <v>48</v>
      </c>
      <c r="F72" s="600">
        <v>1</v>
      </c>
      <c r="G72" s="603" t="s">
        <v>76</v>
      </c>
      <c r="H72" s="604" t="s">
        <v>156</v>
      </c>
      <c r="I72" s="600" t="s">
        <v>55</v>
      </c>
      <c r="J72" s="600" t="s">
        <v>35</v>
      </c>
      <c r="K72" s="600" t="s">
        <v>195</v>
      </c>
      <c r="L72" s="605">
        <v>6000000</v>
      </c>
      <c r="M72" s="606">
        <v>6000000</v>
      </c>
      <c r="N72" s="600" t="s">
        <v>51</v>
      </c>
      <c r="O72" s="600" t="s">
        <v>36</v>
      </c>
      <c r="P72" s="600" t="s">
        <v>320</v>
      </c>
      <c r="Q72" s="80"/>
      <c r="R72" s="623"/>
      <c r="S72" s="608"/>
      <c r="T72" s="608"/>
      <c r="U72" s="608"/>
      <c r="V72" s="608"/>
      <c r="W72" s="608"/>
      <c r="X72" s="608"/>
      <c r="Y72" s="608"/>
      <c r="Z72" s="608"/>
      <c r="AA72" s="608"/>
      <c r="AB72" s="608"/>
      <c r="AC72" s="608"/>
      <c r="AD72" s="608"/>
      <c r="AE72" s="608"/>
      <c r="AF72" s="608"/>
      <c r="AG72" s="608"/>
      <c r="AH72" s="608"/>
      <c r="AI72" s="608"/>
      <c r="AJ72" s="608"/>
      <c r="AK72" s="608"/>
      <c r="AL72" s="608"/>
      <c r="AM72" s="608"/>
    </row>
    <row r="73" spans="1:39" ht="57.6" hidden="1" customHeight="1" x14ac:dyDescent="0.25">
      <c r="A73" s="599">
        <f t="shared" si="3"/>
        <v>54</v>
      </c>
      <c r="B73" s="600" t="s">
        <v>485</v>
      </c>
      <c r="C73" s="601">
        <v>42000000</v>
      </c>
      <c r="D73" s="627" t="s">
        <v>487</v>
      </c>
      <c r="E73" s="600" t="s">
        <v>48</v>
      </c>
      <c r="F73" s="600">
        <v>1</v>
      </c>
      <c r="G73" s="603" t="s">
        <v>81</v>
      </c>
      <c r="H73" s="604" t="s">
        <v>156</v>
      </c>
      <c r="I73" s="600" t="s">
        <v>55</v>
      </c>
      <c r="J73" s="600" t="s">
        <v>35</v>
      </c>
      <c r="K73" s="600" t="s">
        <v>43</v>
      </c>
      <c r="L73" s="605">
        <v>5000000</v>
      </c>
      <c r="M73" s="606">
        <v>5000000</v>
      </c>
      <c r="N73" s="600" t="s">
        <v>51</v>
      </c>
      <c r="O73" s="600" t="s">
        <v>36</v>
      </c>
      <c r="P73" s="600" t="s">
        <v>319</v>
      </c>
      <c r="Q73" s="80"/>
      <c r="R73" s="624"/>
      <c r="S73" s="608"/>
      <c r="T73" s="608"/>
      <c r="U73" s="608"/>
      <c r="V73" s="608"/>
      <c r="W73" s="608"/>
      <c r="X73" s="608"/>
      <c r="Y73" s="608"/>
      <c r="Z73" s="608"/>
      <c r="AA73" s="608"/>
      <c r="AB73" s="608"/>
      <c r="AC73" s="608"/>
      <c r="AD73" s="608"/>
      <c r="AE73" s="608"/>
      <c r="AF73" s="608"/>
      <c r="AG73" s="608"/>
      <c r="AH73" s="608"/>
      <c r="AI73" s="608"/>
      <c r="AJ73" s="608"/>
      <c r="AK73" s="608"/>
      <c r="AL73" s="608"/>
      <c r="AM73" s="608"/>
    </row>
    <row r="74" spans="1:39" ht="65.45" hidden="1" customHeight="1" x14ac:dyDescent="0.25">
      <c r="A74" s="599">
        <f t="shared" si="3"/>
        <v>55</v>
      </c>
      <c r="B74" s="600" t="s">
        <v>485</v>
      </c>
      <c r="C74" s="607"/>
      <c r="D74" s="627" t="s">
        <v>488</v>
      </c>
      <c r="E74" s="600" t="s">
        <v>48</v>
      </c>
      <c r="F74" s="600">
        <v>1</v>
      </c>
      <c r="G74" s="603" t="s">
        <v>80</v>
      </c>
      <c r="H74" s="604" t="s">
        <v>156</v>
      </c>
      <c r="I74" s="600" t="s">
        <v>55</v>
      </c>
      <c r="J74" s="600" t="s">
        <v>35</v>
      </c>
      <c r="K74" s="600" t="s">
        <v>43</v>
      </c>
      <c r="L74" s="605">
        <v>5000000</v>
      </c>
      <c r="M74" s="606">
        <v>5000000</v>
      </c>
      <c r="N74" s="600" t="s">
        <v>51</v>
      </c>
      <c r="O74" s="600" t="s">
        <v>36</v>
      </c>
      <c r="P74" s="600" t="s">
        <v>319</v>
      </c>
      <c r="Q74" s="80"/>
      <c r="R74" s="624"/>
      <c r="S74" s="608"/>
      <c r="T74" s="608"/>
      <c r="U74" s="608"/>
      <c r="V74" s="608"/>
      <c r="W74" s="608"/>
      <c r="X74" s="608"/>
      <c r="Y74" s="608"/>
      <c r="Z74" s="608"/>
      <c r="AA74" s="608"/>
      <c r="AB74" s="608"/>
      <c r="AC74" s="608"/>
      <c r="AD74" s="608"/>
      <c r="AE74" s="608"/>
      <c r="AF74" s="608"/>
      <c r="AG74" s="608"/>
      <c r="AH74" s="608"/>
      <c r="AI74" s="608"/>
      <c r="AJ74" s="608"/>
      <c r="AK74" s="608"/>
      <c r="AL74" s="608"/>
      <c r="AM74" s="608"/>
    </row>
    <row r="75" spans="1:39" ht="186.75" hidden="1" customHeight="1" x14ac:dyDescent="0.25">
      <c r="A75" s="599">
        <f t="shared" si="3"/>
        <v>56</v>
      </c>
      <c r="B75" s="600" t="s">
        <v>485</v>
      </c>
      <c r="C75" s="628" t="s">
        <v>67</v>
      </c>
      <c r="D75" s="602" t="s">
        <v>587</v>
      </c>
      <c r="E75" s="600" t="s">
        <v>48</v>
      </c>
      <c r="F75" s="600">
        <v>1</v>
      </c>
      <c r="G75" s="603" t="s">
        <v>80</v>
      </c>
      <c r="H75" s="604" t="s">
        <v>177</v>
      </c>
      <c r="I75" s="600" t="s">
        <v>55</v>
      </c>
      <c r="J75" s="600" t="s">
        <v>35</v>
      </c>
      <c r="K75" s="600" t="s">
        <v>43</v>
      </c>
      <c r="L75" s="605">
        <v>5000000</v>
      </c>
      <c r="M75" s="606">
        <v>5000000</v>
      </c>
      <c r="N75" s="600" t="s">
        <v>51</v>
      </c>
      <c r="O75" s="600" t="s">
        <v>36</v>
      </c>
      <c r="P75" s="600" t="s">
        <v>319</v>
      </c>
      <c r="Q75" s="80"/>
      <c r="R75" s="624"/>
      <c r="S75" s="608"/>
      <c r="T75" s="608"/>
      <c r="U75" s="608"/>
      <c r="V75" s="608"/>
      <c r="W75" s="608"/>
      <c r="X75" s="608"/>
      <c r="Y75" s="608"/>
      <c r="Z75" s="608"/>
      <c r="AA75" s="608"/>
      <c r="AB75" s="608"/>
      <c r="AC75" s="608"/>
      <c r="AD75" s="608"/>
      <c r="AE75" s="608"/>
      <c r="AF75" s="608"/>
      <c r="AG75" s="608"/>
      <c r="AH75" s="608"/>
      <c r="AI75" s="608"/>
      <c r="AJ75" s="608"/>
      <c r="AK75" s="608"/>
      <c r="AL75" s="608"/>
      <c r="AM75" s="608"/>
    </row>
    <row r="76" spans="1:39" ht="119.45" hidden="1" customHeight="1" x14ac:dyDescent="0.25">
      <c r="A76" s="599">
        <f t="shared" si="3"/>
        <v>57</v>
      </c>
      <c r="B76" s="600" t="s">
        <v>485</v>
      </c>
      <c r="C76" s="607"/>
      <c r="D76" s="627" t="s">
        <v>489</v>
      </c>
      <c r="E76" s="600" t="s">
        <v>48</v>
      </c>
      <c r="F76" s="600">
        <v>1</v>
      </c>
      <c r="G76" s="603" t="s">
        <v>80</v>
      </c>
      <c r="H76" s="604" t="s">
        <v>157</v>
      </c>
      <c r="I76" s="600" t="s">
        <v>61</v>
      </c>
      <c r="J76" s="600" t="s">
        <v>35</v>
      </c>
      <c r="K76" s="600" t="s">
        <v>441</v>
      </c>
      <c r="L76" s="605">
        <v>343000000</v>
      </c>
      <c r="M76" s="606">
        <v>343000000</v>
      </c>
      <c r="N76" s="600" t="s">
        <v>51</v>
      </c>
      <c r="O76" s="600" t="s">
        <v>36</v>
      </c>
      <c r="P76" s="600" t="s">
        <v>319</v>
      </c>
      <c r="Q76" s="80"/>
      <c r="R76" s="624"/>
      <c r="S76" s="608"/>
      <c r="T76" s="608"/>
      <c r="U76" s="608"/>
      <c r="V76" s="608"/>
      <c r="W76" s="608"/>
      <c r="X76" s="608"/>
      <c r="Y76" s="608"/>
      <c r="Z76" s="608"/>
      <c r="AA76" s="608"/>
      <c r="AB76" s="608"/>
      <c r="AC76" s="608"/>
      <c r="AD76" s="608"/>
      <c r="AE76" s="608"/>
      <c r="AF76" s="608"/>
      <c r="AG76" s="608"/>
      <c r="AH76" s="608"/>
      <c r="AI76" s="608"/>
      <c r="AJ76" s="608"/>
      <c r="AK76" s="608"/>
      <c r="AL76" s="608"/>
      <c r="AM76" s="608"/>
    </row>
    <row r="77" spans="1:39" ht="46.5" hidden="1" x14ac:dyDescent="0.25">
      <c r="A77" s="599">
        <f t="shared" si="3"/>
        <v>58</v>
      </c>
      <c r="B77" s="600" t="s">
        <v>485</v>
      </c>
      <c r="C77" s="607"/>
      <c r="D77" s="627" t="s">
        <v>490</v>
      </c>
      <c r="E77" s="600" t="s">
        <v>48</v>
      </c>
      <c r="F77" s="600">
        <v>1</v>
      </c>
      <c r="G77" s="603" t="s">
        <v>81</v>
      </c>
      <c r="H77" s="604">
        <v>2</v>
      </c>
      <c r="I77" s="600" t="s">
        <v>226</v>
      </c>
      <c r="J77" s="600" t="s">
        <v>35</v>
      </c>
      <c r="K77" s="600" t="s">
        <v>491</v>
      </c>
      <c r="L77" s="605">
        <v>600000000</v>
      </c>
      <c r="M77" s="606">
        <v>600000000</v>
      </c>
      <c r="N77" s="600" t="s">
        <v>51</v>
      </c>
      <c r="O77" s="600" t="s">
        <v>36</v>
      </c>
      <c r="P77" s="600" t="s">
        <v>319</v>
      </c>
      <c r="Q77" s="80"/>
      <c r="R77" s="624"/>
      <c r="S77" s="608"/>
      <c r="T77" s="608"/>
      <c r="U77" s="608"/>
      <c r="V77" s="608"/>
      <c r="W77" s="608"/>
      <c r="X77" s="608"/>
      <c r="Y77" s="608"/>
      <c r="Z77" s="608"/>
      <c r="AA77" s="608"/>
      <c r="AB77" s="608"/>
      <c r="AC77" s="608"/>
      <c r="AD77" s="608"/>
      <c r="AE77" s="608"/>
      <c r="AF77" s="608"/>
      <c r="AG77" s="608"/>
      <c r="AH77" s="608"/>
      <c r="AI77" s="608"/>
      <c r="AJ77" s="608"/>
      <c r="AK77" s="608"/>
      <c r="AL77" s="608"/>
      <c r="AM77" s="608"/>
    </row>
    <row r="78" spans="1:39" ht="93" hidden="1" x14ac:dyDescent="0.25">
      <c r="A78" s="599">
        <f t="shared" si="3"/>
        <v>59</v>
      </c>
      <c r="B78" s="600" t="s">
        <v>198</v>
      </c>
      <c r="C78" s="601">
        <v>204415</v>
      </c>
      <c r="D78" s="602" t="s">
        <v>199</v>
      </c>
      <c r="E78" s="600" t="s">
        <v>48</v>
      </c>
      <c r="F78" s="600">
        <v>1</v>
      </c>
      <c r="G78" s="603" t="s">
        <v>78</v>
      </c>
      <c r="H78" s="604" t="s">
        <v>156</v>
      </c>
      <c r="I78" s="600" t="s">
        <v>55</v>
      </c>
      <c r="J78" s="600" t="s">
        <v>35</v>
      </c>
      <c r="K78" s="600" t="s">
        <v>41</v>
      </c>
      <c r="L78" s="605">
        <v>4000000</v>
      </c>
      <c r="M78" s="606">
        <v>4000000</v>
      </c>
      <c r="N78" s="600" t="s">
        <v>51</v>
      </c>
      <c r="O78" s="600" t="s">
        <v>36</v>
      </c>
      <c r="P78" s="600" t="s">
        <v>306</v>
      </c>
      <c r="Q78" s="80"/>
      <c r="R78" s="624"/>
      <c r="S78" s="608"/>
      <c r="T78" s="608"/>
      <c r="U78" s="608"/>
      <c r="V78" s="608"/>
      <c r="W78" s="608"/>
      <c r="X78" s="608"/>
      <c r="Y78" s="608"/>
      <c r="Z78" s="608"/>
      <c r="AA78" s="608"/>
      <c r="AB78" s="608"/>
      <c r="AC78" s="608"/>
      <c r="AD78" s="608"/>
      <c r="AE78" s="608"/>
      <c r="AF78" s="608"/>
      <c r="AG78" s="608"/>
      <c r="AH78" s="608"/>
      <c r="AI78" s="608"/>
      <c r="AJ78" s="608"/>
      <c r="AK78" s="608"/>
      <c r="AL78" s="608"/>
      <c r="AM78" s="608"/>
    </row>
    <row r="79" spans="1:39" ht="93" hidden="1" x14ac:dyDescent="0.25">
      <c r="A79" s="599">
        <f t="shared" si="3"/>
        <v>60</v>
      </c>
      <c r="B79" s="600" t="s">
        <v>198</v>
      </c>
      <c r="C79" s="601">
        <v>55101500</v>
      </c>
      <c r="D79" s="602" t="s">
        <v>200</v>
      </c>
      <c r="E79" s="600" t="s">
        <v>48</v>
      </c>
      <c r="F79" s="600">
        <v>1</v>
      </c>
      <c r="G79" s="603" t="s">
        <v>77</v>
      </c>
      <c r="H79" s="604" t="s">
        <v>156</v>
      </c>
      <c r="I79" s="600" t="s">
        <v>61</v>
      </c>
      <c r="J79" s="600" t="s">
        <v>35</v>
      </c>
      <c r="K79" s="600" t="s">
        <v>41</v>
      </c>
      <c r="L79" s="605">
        <v>15000000</v>
      </c>
      <c r="M79" s="606">
        <v>15000000</v>
      </c>
      <c r="N79" s="600" t="s">
        <v>51</v>
      </c>
      <c r="O79" s="600" t="s">
        <v>36</v>
      </c>
      <c r="P79" s="600" t="s">
        <v>306</v>
      </c>
      <c r="Q79" s="80"/>
      <c r="R79" s="624"/>
      <c r="S79" s="608"/>
      <c r="T79" s="608"/>
      <c r="U79" s="608"/>
      <c r="V79" s="608"/>
      <c r="W79" s="608"/>
      <c r="X79" s="608"/>
      <c r="Y79" s="608"/>
      <c r="Z79" s="608"/>
      <c r="AA79" s="608"/>
      <c r="AB79" s="608"/>
      <c r="AC79" s="608"/>
      <c r="AD79" s="608"/>
      <c r="AE79" s="608"/>
      <c r="AF79" s="608"/>
      <c r="AG79" s="608"/>
      <c r="AH79" s="608"/>
      <c r="AI79" s="608"/>
      <c r="AJ79" s="608"/>
      <c r="AK79" s="608"/>
      <c r="AL79" s="608"/>
      <c r="AM79" s="608"/>
    </row>
    <row r="80" spans="1:39" ht="93" hidden="1" x14ac:dyDescent="0.25">
      <c r="A80" s="599">
        <f t="shared" si="3"/>
        <v>61</v>
      </c>
      <c r="B80" s="600" t="s">
        <v>264</v>
      </c>
      <c r="C80" s="601">
        <v>43212105</v>
      </c>
      <c r="D80" s="627" t="s">
        <v>466</v>
      </c>
      <c r="E80" s="600" t="s">
        <v>48</v>
      </c>
      <c r="F80" s="600">
        <v>1</v>
      </c>
      <c r="G80" s="603" t="s">
        <v>75</v>
      </c>
      <c r="H80" s="604">
        <v>4</v>
      </c>
      <c r="I80" s="600" t="s">
        <v>53</v>
      </c>
      <c r="J80" s="600" t="s">
        <v>35</v>
      </c>
      <c r="K80" s="600" t="s">
        <v>195</v>
      </c>
      <c r="L80" s="605">
        <v>20000000</v>
      </c>
      <c r="M80" s="605">
        <v>20000000</v>
      </c>
      <c r="N80" s="600" t="s">
        <v>51</v>
      </c>
      <c r="O80" s="600" t="s">
        <v>36</v>
      </c>
      <c r="P80" s="600" t="s">
        <v>320</v>
      </c>
      <c r="Q80" s="80"/>
      <c r="R80" s="623"/>
      <c r="S80" s="608"/>
      <c r="T80" s="608"/>
      <c r="U80" s="608"/>
      <c r="V80" s="608"/>
      <c r="W80" s="608"/>
      <c r="X80" s="608"/>
      <c r="Y80" s="608"/>
      <c r="Z80" s="608"/>
      <c r="AA80" s="608"/>
      <c r="AB80" s="608"/>
      <c r="AC80" s="608"/>
      <c r="AD80" s="608"/>
      <c r="AE80" s="608"/>
      <c r="AF80" s="608"/>
      <c r="AG80" s="608"/>
      <c r="AH80" s="608"/>
      <c r="AI80" s="608"/>
      <c r="AJ80" s="608"/>
      <c r="AK80" s="608"/>
      <c r="AL80" s="608"/>
      <c r="AM80" s="608"/>
    </row>
    <row r="81" spans="1:39" ht="93" hidden="1" x14ac:dyDescent="0.25">
      <c r="A81" s="599">
        <f t="shared" si="3"/>
        <v>62</v>
      </c>
      <c r="B81" s="600" t="s">
        <v>492</v>
      </c>
      <c r="C81" s="601">
        <v>43211508</v>
      </c>
      <c r="D81" s="627" t="s">
        <v>434</v>
      </c>
      <c r="E81" s="600" t="s">
        <v>48</v>
      </c>
      <c r="F81" s="600">
        <v>1</v>
      </c>
      <c r="G81" s="603" t="s">
        <v>75</v>
      </c>
      <c r="H81" s="604" t="s">
        <v>156</v>
      </c>
      <c r="I81" s="600" t="s">
        <v>53</v>
      </c>
      <c r="J81" s="600" t="s">
        <v>35</v>
      </c>
      <c r="K81" s="600" t="s">
        <v>322</v>
      </c>
      <c r="L81" s="605">
        <v>20000000</v>
      </c>
      <c r="M81" s="606">
        <v>20000000</v>
      </c>
      <c r="N81" s="600" t="s">
        <v>51</v>
      </c>
      <c r="O81" s="600" t="s">
        <v>36</v>
      </c>
      <c r="P81" s="600" t="s">
        <v>308</v>
      </c>
      <c r="Q81" s="80"/>
      <c r="R81" s="624"/>
      <c r="S81" s="608"/>
      <c r="T81" s="608"/>
      <c r="U81" s="608"/>
      <c r="V81" s="608"/>
      <c r="W81" s="608"/>
      <c r="X81" s="608"/>
      <c r="Y81" s="608"/>
      <c r="Z81" s="608"/>
      <c r="AA81" s="608"/>
      <c r="AB81" s="608"/>
      <c r="AC81" s="608"/>
      <c r="AD81" s="608"/>
      <c r="AE81" s="608"/>
      <c r="AF81" s="608"/>
      <c r="AG81" s="608"/>
      <c r="AH81" s="608"/>
      <c r="AI81" s="608"/>
      <c r="AJ81" s="608"/>
      <c r="AK81" s="608"/>
      <c r="AL81" s="608"/>
      <c r="AM81" s="608"/>
    </row>
    <row r="82" spans="1:39" ht="93" hidden="1" x14ac:dyDescent="0.25">
      <c r="A82" s="599">
        <f t="shared" si="3"/>
        <v>63</v>
      </c>
      <c r="B82" s="600" t="s">
        <v>492</v>
      </c>
      <c r="C82" s="601">
        <v>81112502</v>
      </c>
      <c r="D82" s="602" t="s">
        <v>207</v>
      </c>
      <c r="E82" s="600" t="s">
        <v>48</v>
      </c>
      <c r="F82" s="600">
        <v>1</v>
      </c>
      <c r="G82" s="603" t="s">
        <v>166</v>
      </c>
      <c r="H82" s="604">
        <v>36</v>
      </c>
      <c r="I82" s="600" t="s">
        <v>173</v>
      </c>
      <c r="J82" s="600" t="s">
        <v>35</v>
      </c>
      <c r="K82" s="600" t="s">
        <v>161</v>
      </c>
      <c r="L82" s="605">
        <f>M82/5*36</f>
        <v>742768941.60000002</v>
      </c>
      <c r="M82" s="606">
        <v>103162353</v>
      </c>
      <c r="N82" s="600" t="s">
        <v>49</v>
      </c>
      <c r="O82" s="600" t="s">
        <v>303</v>
      </c>
      <c r="P82" s="600" t="s">
        <v>308</v>
      </c>
      <c r="Q82" s="80"/>
      <c r="R82" s="623"/>
      <c r="S82" s="608"/>
      <c r="T82" s="608"/>
      <c r="U82" s="608"/>
      <c r="V82" s="608"/>
      <c r="W82" s="608"/>
      <c r="X82" s="608"/>
      <c r="Y82" s="608"/>
      <c r="Z82" s="608"/>
      <c r="AA82" s="608"/>
      <c r="AB82" s="608"/>
      <c r="AC82" s="608"/>
      <c r="AD82" s="608"/>
      <c r="AE82" s="608"/>
      <c r="AF82" s="608"/>
      <c r="AG82" s="608"/>
      <c r="AH82" s="608"/>
      <c r="AI82" s="608"/>
      <c r="AJ82" s="608"/>
      <c r="AK82" s="608"/>
      <c r="AL82" s="608"/>
      <c r="AM82" s="608"/>
    </row>
    <row r="83" spans="1:39" ht="93" hidden="1" x14ac:dyDescent="0.25">
      <c r="A83" s="599">
        <f t="shared" si="3"/>
        <v>64</v>
      </c>
      <c r="B83" s="600" t="s">
        <v>492</v>
      </c>
      <c r="C83" s="601">
        <v>43222815</v>
      </c>
      <c r="D83" s="602" t="s">
        <v>213</v>
      </c>
      <c r="E83" s="600" t="s">
        <v>48</v>
      </c>
      <c r="F83" s="600">
        <v>1</v>
      </c>
      <c r="G83" s="603" t="s">
        <v>166</v>
      </c>
      <c r="H83" s="604">
        <v>36</v>
      </c>
      <c r="I83" s="600" t="s">
        <v>173</v>
      </c>
      <c r="J83" s="600" t="s">
        <v>35</v>
      </c>
      <c r="K83" s="600" t="s">
        <v>161</v>
      </c>
      <c r="L83" s="605">
        <f>M83/5*36</f>
        <v>486565344</v>
      </c>
      <c r="M83" s="606">
        <v>67578520</v>
      </c>
      <c r="N83" s="600" t="s">
        <v>49</v>
      </c>
      <c r="O83" s="600" t="s">
        <v>303</v>
      </c>
      <c r="P83" s="600" t="s">
        <v>308</v>
      </c>
      <c r="Q83" s="80"/>
      <c r="R83" s="623"/>
      <c r="S83" s="608"/>
      <c r="T83" s="608"/>
      <c r="U83" s="608"/>
      <c r="V83" s="608"/>
      <c r="W83" s="608"/>
      <c r="X83" s="608"/>
      <c r="Y83" s="608"/>
      <c r="Z83" s="608"/>
      <c r="AA83" s="608"/>
      <c r="AB83" s="608"/>
      <c r="AC83" s="608"/>
      <c r="AD83" s="608"/>
      <c r="AE83" s="608"/>
      <c r="AF83" s="608"/>
      <c r="AG83" s="608"/>
      <c r="AH83" s="608"/>
      <c r="AI83" s="608"/>
      <c r="AJ83" s="608"/>
      <c r="AK83" s="608"/>
      <c r="AL83" s="608"/>
      <c r="AM83" s="608"/>
    </row>
    <row r="84" spans="1:39" ht="93" hidden="1" x14ac:dyDescent="0.25">
      <c r="A84" s="599">
        <f t="shared" si="3"/>
        <v>65</v>
      </c>
      <c r="B84" s="600" t="s">
        <v>492</v>
      </c>
      <c r="C84" s="601">
        <v>93151502</v>
      </c>
      <c r="D84" s="602" t="s">
        <v>214</v>
      </c>
      <c r="E84" s="600" t="s">
        <v>48</v>
      </c>
      <c r="F84" s="600">
        <v>1</v>
      </c>
      <c r="G84" s="603" t="s">
        <v>166</v>
      </c>
      <c r="H84" s="604">
        <v>36</v>
      </c>
      <c r="I84" s="600" t="s">
        <v>305</v>
      </c>
      <c r="J84" s="600" t="s">
        <v>35</v>
      </c>
      <c r="K84" s="600" t="s">
        <v>161</v>
      </c>
      <c r="L84" s="605">
        <f>M84/5*36</f>
        <v>1169603942.3999999</v>
      </c>
      <c r="M84" s="606">
        <v>162444992</v>
      </c>
      <c r="N84" s="600" t="s">
        <v>49</v>
      </c>
      <c r="O84" s="600" t="s">
        <v>303</v>
      </c>
      <c r="P84" s="600" t="s">
        <v>308</v>
      </c>
      <c r="Q84" s="80"/>
      <c r="R84" s="623"/>
      <c r="S84" s="608"/>
      <c r="T84" s="608"/>
      <c r="U84" s="608"/>
      <c r="V84" s="608"/>
      <c r="W84" s="608"/>
      <c r="X84" s="608"/>
      <c r="Y84" s="608"/>
      <c r="Z84" s="608"/>
      <c r="AA84" s="608"/>
      <c r="AB84" s="608"/>
      <c r="AC84" s="608"/>
      <c r="AD84" s="608"/>
      <c r="AE84" s="608"/>
      <c r="AF84" s="608"/>
      <c r="AG84" s="608"/>
      <c r="AH84" s="608"/>
      <c r="AI84" s="608"/>
      <c r="AJ84" s="608"/>
      <c r="AK84" s="608"/>
      <c r="AL84" s="608"/>
      <c r="AM84" s="608"/>
    </row>
    <row r="85" spans="1:39" ht="103.15" hidden="1" customHeight="1" x14ac:dyDescent="0.25">
      <c r="A85" s="599">
        <f t="shared" si="3"/>
        <v>66</v>
      </c>
      <c r="B85" s="600" t="s">
        <v>492</v>
      </c>
      <c r="C85" s="601">
        <v>81112006</v>
      </c>
      <c r="D85" s="602" t="s">
        <v>217</v>
      </c>
      <c r="E85" s="600" t="s">
        <v>48</v>
      </c>
      <c r="F85" s="600">
        <v>1</v>
      </c>
      <c r="G85" s="603" t="s">
        <v>73</v>
      </c>
      <c r="H85" s="604">
        <v>12</v>
      </c>
      <c r="I85" s="600" t="s">
        <v>55</v>
      </c>
      <c r="J85" s="600" t="s">
        <v>35</v>
      </c>
      <c r="K85" s="600" t="s">
        <v>216</v>
      </c>
      <c r="L85" s="605">
        <v>3850000.0000000005</v>
      </c>
      <c r="M85" s="606">
        <v>3850000.0000000005</v>
      </c>
      <c r="N85" s="600" t="s">
        <v>51</v>
      </c>
      <c r="O85" s="600" t="s">
        <v>36</v>
      </c>
      <c r="P85" s="600" t="s">
        <v>308</v>
      </c>
      <c r="Q85" s="80"/>
      <c r="R85" s="623"/>
      <c r="S85" s="608"/>
      <c r="T85" s="608"/>
      <c r="U85" s="608"/>
      <c r="V85" s="608"/>
      <c r="W85" s="608"/>
      <c r="X85" s="608"/>
      <c r="Y85" s="608"/>
      <c r="Z85" s="608"/>
      <c r="AA85" s="608"/>
      <c r="AB85" s="608"/>
      <c r="AC85" s="608"/>
      <c r="AD85" s="608"/>
      <c r="AE85" s="608"/>
      <c r="AF85" s="608"/>
      <c r="AG85" s="608"/>
      <c r="AH85" s="608"/>
      <c r="AI85" s="608"/>
      <c r="AJ85" s="608"/>
      <c r="AK85" s="608"/>
      <c r="AL85" s="608"/>
      <c r="AM85" s="608"/>
    </row>
    <row r="86" spans="1:39" ht="93" hidden="1" x14ac:dyDescent="0.25">
      <c r="A86" s="599">
        <f t="shared" si="3"/>
        <v>67</v>
      </c>
      <c r="B86" s="600" t="s">
        <v>492</v>
      </c>
      <c r="C86" s="601">
        <v>43233004</v>
      </c>
      <c r="D86" s="602" t="s">
        <v>277</v>
      </c>
      <c r="E86" s="600" t="s">
        <v>48</v>
      </c>
      <c r="F86" s="600">
        <v>1</v>
      </c>
      <c r="G86" s="603" t="s">
        <v>80</v>
      </c>
      <c r="H86" s="604">
        <v>12</v>
      </c>
      <c r="I86" s="600" t="s">
        <v>285</v>
      </c>
      <c r="J86" s="600" t="s">
        <v>66</v>
      </c>
      <c r="K86" s="600" t="s">
        <v>585</v>
      </c>
      <c r="L86" s="605">
        <v>44044250.800000004</v>
      </c>
      <c r="M86" s="606">
        <v>44044251</v>
      </c>
      <c r="N86" s="600" t="s">
        <v>51</v>
      </c>
      <c r="O86" s="600" t="s">
        <v>36</v>
      </c>
      <c r="P86" s="600" t="s">
        <v>308</v>
      </c>
      <c r="Q86" s="80"/>
      <c r="R86" s="623"/>
      <c r="S86" s="608"/>
      <c r="T86" s="608"/>
      <c r="U86" s="608"/>
      <c r="V86" s="608"/>
      <c r="W86" s="608"/>
      <c r="X86" s="608"/>
      <c r="Y86" s="608"/>
      <c r="Z86" s="608"/>
      <c r="AA86" s="608"/>
      <c r="AB86" s="608"/>
      <c r="AC86" s="608"/>
      <c r="AD86" s="608"/>
      <c r="AE86" s="608"/>
      <c r="AF86" s="608"/>
      <c r="AG86" s="608"/>
      <c r="AH86" s="608"/>
      <c r="AI86" s="608"/>
      <c r="AJ86" s="608"/>
      <c r="AK86" s="608"/>
      <c r="AL86" s="608"/>
      <c r="AM86" s="608"/>
    </row>
    <row r="87" spans="1:39" ht="93" hidden="1" x14ac:dyDescent="0.25">
      <c r="A87" s="599">
        <f t="shared" si="3"/>
        <v>68</v>
      </c>
      <c r="B87" s="600" t="s">
        <v>492</v>
      </c>
      <c r="C87" s="601">
        <v>81111812</v>
      </c>
      <c r="D87" s="602" t="s">
        <v>165</v>
      </c>
      <c r="E87" s="600" t="s">
        <v>68</v>
      </c>
      <c r="F87" s="600">
        <v>1</v>
      </c>
      <c r="G87" s="603" t="s">
        <v>79</v>
      </c>
      <c r="H87" s="604">
        <v>12</v>
      </c>
      <c r="I87" s="600" t="s">
        <v>285</v>
      </c>
      <c r="J87" s="600" t="s">
        <v>66</v>
      </c>
      <c r="K87" s="600" t="s">
        <v>585</v>
      </c>
      <c r="L87" s="605">
        <v>31853134.500000004</v>
      </c>
      <c r="M87" s="606">
        <v>31853135</v>
      </c>
      <c r="N87" s="600" t="s">
        <v>51</v>
      </c>
      <c r="O87" s="600" t="s">
        <v>36</v>
      </c>
      <c r="P87" s="600" t="s">
        <v>308</v>
      </c>
      <c r="Q87" s="80"/>
      <c r="R87" s="623"/>
      <c r="S87" s="608"/>
      <c r="T87" s="608"/>
      <c r="U87" s="608"/>
      <c r="V87" s="608"/>
      <c r="W87" s="608"/>
      <c r="X87" s="608"/>
      <c r="Y87" s="608"/>
      <c r="Z87" s="608"/>
      <c r="AA87" s="608"/>
      <c r="AB87" s="608"/>
      <c r="AC87" s="608"/>
      <c r="AD87" s="608"/>
      <c r="AE87" s="608"/>
      <c r="AF87" s="608"/>
      <c r="AG87" s="608"/>
      <c r="AH87" s="608"/>
      <c r="AI87" s="608"/>
      <c r="AJ87" s="608"/>
      <c r="AK87" s="608"/>
      <c r="AL87" s="608"/>
      <c r="AM87" s="608"/>
    </row>
    <row r="88" spans="1:39" ht="93" hidden="1" x14ac:dyDescent="0.25">
      <c r="A88" s="599">
        <f t="shared" si="3"/>
        <v>69</v>
      </c>
      <c r="B88" s="600" t="s">
        <v>492</v>
      </c>
      <c r="C88" s="601">
        <v>81112501</v>
      </c>
      <c r="D88" s="602" t="s">
        <v>208</v>
      </c>
      <c r="E88" s="600" t="s">
        <v>48</v>
      </c>
      <c r="F88" s="600">
        <v>1</v>
      </c>
      <c r="G88" s="603" t="s">
        <v>79</v>
      </c>
      <c r="H88" s="604">
        <v>24</v>
      </c>
      <c r="I88" s="600" t="s">
        <v>167</v>
      </c>
      <c r="J88" s="600" t="s">
        <v>66</v>
      </c>
      <c r="K88" s="600" t="s">
        <v>585</v>
      </c>
      <c r="L88" s="605">
        <v>600000000</v>
      </c>
      <c r="M88" s="606">
        <v>300000000</v>
      </c>
      <c r="N88" s="600" t="s">
        <v>49</v>
      </c>
      <c r="O88" s="600" t="s">
        <v>447</v>
      </c>
      <c r="P88" s="600" t="s">
        <v>308</v>
      </c>
      <c r="Q88" s="80"/>
      <c r="R88" s="623"/>
      <c r="S88" s="608"/>
      <c r="T88" s="608"/>
      <c r="U88" s="608"/>
      <c r="V88" s="608"/>
      <c r="W88" s="608"/>
      <c r="X88" s="608"/>
      <c r="Y88" s="608"/>
      <c r="Z88" s="608"/>
      <c r="AA88" s="608"/>
      <c r="AB88" s="608"/>
      <c r="AC88" s="608"/>
      <c r="AD88" s="608"/>
      <c r="AE88" s="608"/>
      <c r="AF88" s="608"/>
      <c r="AG88" s="608"/>
      <c r="AH88" s="608"/>
      <c r="AI88" s="608"/>
      <c r="AJ88" s="608"/>
      <c r="AK88" s="608"/>
      <c r="AL88" s="608"/>
      <c r="AM88" s="608"/>
    </row>
    <row r="89" spans="1:39" ht="93" hidden="1" x14ac:dyDescent="0.25">
      <c r="A89" s="599">
        <f t="shared" si="3"/>
        <v>70</v>
      </c>
      <c r="B89" s="600" t="s">
        <v>492</v>
      </c>
      <c r="C89" s="601">
        <v>81112501</v>
      </c>
      <c r="D89" s="602" t="s">
        <v>168</v>
      </c>
      <c r="E89" s="600" t="s">
        <v>68</v>
      </c>
      <c r="F89" s="600">
        <v>1</v>
      </c>
      <c r="G89" s="603" t="s">
        <v>77</v>
      </c>
      <c r="H89" s="604" t="s">
        <v>194</v>
      </c>
      <c r="I89" s="600" t="s">
        <v>285</v>
      </c>
      <c r="J89" s="600" t="s">
        <v>66</v>
      </c>
      <c r="K89" s="600" t="s">
        <v>585</v>
      </c>
      <c r="L89" s="605">
        <v>43000000</v>
      </c>
      <c r="M89" s="606">
        <v>43000000</v>
      </c>
      <c r="N89" s="600" t="s">
        <v>51</v>
      </c>
      <c r="O89" s="600" t="s">
        <v>36</v>
      </c>
      <c r="P89" s="600" t="s">
        <v>308</v>
      </c>
      <c r="Q89" s="80"/>
      <c r="R89" s="623"/>
      <c r="S89" s="608"/>
      <c r="T89" s="608"/>
      <c r="U89" s="608"/>
      <c r="V89" s="608"/>
      <c r="W89" s="608"/>
      <c r="X89" s="608"/>
      <c r="Y89" s="608"/>
      <c r="Z89" s="608"/>
      <c r="AA89" s="608"/>
      <c r="AB89" s="608"/>
      <c r="AC89" s="608"/>
      <c r="AD89" s="608"/>
      <c r="AE89" s="608"/>
      <c r="AF89" s="608"/>
      <c r="AG89" s="608"/>
      <c r="AH89" s="608"/>
      <c r="AI89" s="608"/>
      <c r="AJ89" s="608"/>
      <c r="AK89" s="608"/>
      <c r="AL89" s="608"/>
      <c r="AM89" s="608"/>
    </row>
    <row r="90" spans="1:39" ht="116.25" hidden="1" x14ac:dyDescent="0.25">
      <c r="A90" s="599">
        <f t="shared" ref="A90:A121" si="4">SUM(A89+1)</f>
        <v>71</v>
      </c>
      <c r="B90" s="600" t="s">
        <v>492</v>
      </c>
      <c r="C90" s="601">
        <v>81112501</v>
      </c>
      <c r="D90" s="602" t="s">
        <v>169</v>
      </c>
      <c r="E90" s="600" t="s">
        <v>48</v>
      </c>
      <c r="F90" s="600">
        <v>1</v>
      </c>
      <c r="G90" s="603" t="s">
        <v>78</v>
      </c>
      <c r="H90" s="604">
        <v>12</v>
      </c>
      <c r="I90" s="600" t="s">
        <v>253</v>
      </c>
      <c r="J90" s="600" t="s">
        <v>66</v>
      </c>
      <c r="K90" s="600" t="s">
        <v>585</v>
      </c>
      <c r="L90" s="605">
        <v>11330000</v>
      </c>
      <c r="M90" s="606">
        <v>11330000</v>
      </c>
      <c r="N90" s="600" t="s">
        <v>51</v>
      </c>
      <c r="O90" s="600" t="s">
        <v>36</v>
      </c>
      <c r="P90" s="600" t="s">
        <v>308</v>
      </c>
      <c r="Q90" s="80"/>
      <c r="R90" s="623"/>
      <c r="S90" s="608"/>
      <c r="T90" s="608"/>
      <c r="U90" s="608"/>
      <c r="V90" s="608"/>
      <c r="W90" s="608"/>
      <c r="X90" s="608"/>
      <c r="Y90" s="608"/>
      <c r="Z90" s="608"/>
      <c r="AA90" s="608"/>
      <c r="AB90" s="608"/>
      <c r="AC90" s="608"/>
      <c r="AD90" s="608"/>
      <c r="AE90" s="608"/>
      <c r="AF90" s="608"/>
      <c r="AG90" s="608"/>
      <c r="AH90" s="608"/>
      <c r="AI90" s="608"/>
      <c r="AJ90" s="608"/>
      <c r="AK90" s="608"/>
      <c r="AL90" s="608"/>
      <c r="AM90" s="608"/>
    </row>
    <row r="91" spans="1:39" ht="93" hidden="1" x14ac:dyDescent="0.25">
      <c r="A91" s="599">
        <f t="shared" si="4"/>
        <v>72</v>
      </c>
      <c r="B91" s="600" t="s">
        <v>492</v>
      </c>
      <c r="C91" s="601">
        <v>93151502</v>
      </c>
      <c r="D91" s="602" t="s">
        <v>69</v>
      </c>
      <c r="E91" s="600" t="s">
        <v>68</v>
      </c>
      <c r="F91" s="600">
        <v>1</v>
      </c>
      <c r="G91" s="603" t="s">
        <v>73</v>
      </c>
      <c r="H91" s="604">
        <v>12</v>
      </c>
      <c r="I91" s="600" t="s">
        <v>285</v>
      </c>
      <c r="J91" s="600" t="s">
        <v>66</v>
      </c>
      <c r="K91" s="600" t="s">
        <v>585</v>
      </c>
      <c r="L91" s="605">
        <v>183458838</v>
      </c>
      <c r="M91" s="606">
        <v>183458838</v>
      </c>
      <c r="N91" s="600" t="s">
        <v>51</v>
      </c>
      <c r="O91" s="600" t="s">
        <v>36</v>
      </c>
      <c r="P91" s="600" t="s">
        <v>308</v>
      </c>
      <c r="Q91" s="80"/>
      <c r="R91" s="623"/>
      <c r="S91" s="608"/>
      <c r="T91" s="608"/>
      <c r="U91" s="608"/>
      <c r="V91" s="608"/>
      <c r="W91" s="608"/>
      <c r="X91" s="608"/>
      <c r="Y91" s="608"/>
      <c r="Z91" s="608"/>
      <c r="AA91" s="608"/>
      <c r="AB91" s="608"/>
      <c r="AC91" s="608"/>
      <c r="AD91" s="608"/>
      <c r="AE91" s="608"/>
      <c r="AF91" s="608"/>
      <c r="AG91" s="608"/>
      <c r="AH91" s="608"/>
      <c r="AI91" s="608"/>
      <c r="AJ91" s="608"/>
      <c r="AK91" s="608"/>
      <c r="AL91" s="608"/>
      <c r="AM91" s="608"/>
    </row>
    <row r="92" spans="1:39" ht="93" hidden="1" x14ac:dyDescent="0.25">
      <c r="A92" s="599">
        <f t="shared" si="4"/>
        <v>73</v>
      </c>
      <c r="B92" s="600" t="s">
        <v>492</v>
      </c>
      <c r="C92" s="601">
        <v>93151502</v>
      </c>
      <c r="D92" s="602" t="s">
        <v>209</v>
      </c>
      <c r="E92" s="600" t="s">
        <v>68</v>
      </c>
      <c r="F92" s="600">
        <v>1</v>
      </c>
      <c r="G92" s="603" t="s">
        <v>80</v>
      </c>
      <c r="H92" s="604">
        <v>12</v>
      </c>
      <c r="I92" s="600" t="s">
        <v>285</v>
      </c>
      <c r="J92" s="600" t="s">
        <v>66</v>
      </c>
      <c r="K92" s="600" t="s">
        <v>585</v>
      </c>
      <c r="L92" s="605">
        <v>252535187</v>
      </c>
      <c r="M92" s="606">
        <v>252535187</v>
      </c>
      <c r="N92" s="600" t="s">
        <v>51</v>
      </c>
      <c r="O92" s="600" t="s">
        <v>36</v>
      </c>
      <c r="P92" s="600" t="s">
        <v>308</v>
      </c>
      <c r="Q92" s="80"/>
      <c r="R92" s="623"/>
      <c r="S92" s="608"/>
      <c r="T92" s="608"/>
      <c r="U92" s="608"/>
      <c r="V92" s="608"/>
      <c r="W92" s="608"/>
      <c r="X92" s="608"/>
      <c r="Y92" s="608"/>
      <c r="Z92" s="608"/>
      <c r="AA92" s="608"/>
      <c r="AB92" s="608"/>
      <c r="AC92" s="608"/>
      <c r="AD92" s="608"/>
      <c r="AE92" s="608"/>
      <c r="AF92" s="608"/>
      <c r="AG92" s="608"/>
      <c r="AH92" s="608"/>
      <c r="AI92" s="608"/>
      <c r="AJ92" s="608"/>
      <c r="AK92" s="608"/>
      <c r="AL92" s="608"/>
      <c r="AM92" s="608"/>
    </row>
    <row r="93" spans="1:39" ht="162.75" hidden="1" x14ac:dyDescent="0.25">
      <c r="A93" s="599">
        <f t="shared" si="4"/>
        <v>74</v>
      </c>
      <c r="B93" s="600" t="s">
        <v>492</v>
      </c>
      <c r="C93" s="601">
        <v>81112501</v>
      </c>
      <c r="D93" s="602" t="s">
        <v>210</v>
      </c>
      <c r="E93" s="600" t="s">
        <v>68</v>
      </c>
      <c r="F93" s="600">
        <v>1</v>
      </c>
      <c r="G93" s="603" t="s">
        <v>74</v>
      </c>
      <c r="H93" s="604" t="s">
        <v>194</v>
      </c>
      <c r="I93" s="600" t="s">
        <v>285</v>
      </c>
      <c r="J93" s="600" t="s">
        <v>66</v>
      </c>
      <c r="K93" s="600" t="s">
        <v>585</v>
      </c>
      <c r="L93" s="605">
        <v>30000000</v>
      </c>
      <c r="M93" s="606">
        <v>30000000</v>
      </c>
      <c r="N93" s="600" t="s">
        <v>51</v>
      </c>
      <c r="O93" s="600" t="s">
        <v>36</v>
      </c>
      <c r="P93" s="600" t="s">
        <v>308</v>
      </c>
      <c r="Q93" s="80"/>
      <c r="R93" s="623"/>
      <c r="S93" s="608"/>
      <c r="T93" s="608"/>
      <c r="U93" s="608"/>
      <c r="V93" s="608"/>
      <c r="W93" s="608"/>
      <c r="X93" s="608"/>
      <c r="Y93" s="608"/>
      <c r="Z93" s="608"/>
      <c r="AA93" s="608"/>
      <c r="AB93" s="608"/>
      <c r="AC93" s="608"/>
      <c r="AD93" s="608"/>
      <c r="AE93" s="608"/>
      <c r="AF93" s="608"/>
      <c r="AG93" s="608"/>
      <c r="AH93" s="608"/>
      <c r="AI93" s="608"/>
      <c r="AJ93" s="608"/>
      <c r="AK93" s="608"/>
      <c r="AL93" s="608"/>
      <c r="AM93" s="608"/>
    </row>
    <row r="94" spans="1:39" ht="93" hidden="1" x14ac:dyDescent="0.25">
      <c r="A94" s="599">
        <f t="shared" si="4"/>
        <v>75</v>
      </c>
      <c r="B94" s="600" t="s">
        <v>492</v>
      </c>
      <c r="C94" s="601">
        <v>80101706</v>
      </c>
      <c r="D94" s="602" t="s">
        <v>82</v>
      </c>
      <c r="E94" s="600" t="s">
        <v>68</v>
      </c>
      <c r="F94" s="600">
        <v>1</v>
      </c>
      <c r="G94" s="603" t="s">
        <v>80</v>
      </c>
      <c r="H94" s="604" t="s">
        <v>194</v>
      </c>
      <c r="I94" s="600" t="s">
        <v>61</v>
      </c>
      <c r="J94" s="600" t="s">
        <v>66</v>
      </c>
      <c r="K94" s="600" t="s">
        <v>585</v>
      </c>
      <c r="L94" s="605">
        <v>44067420</v>
      </c>
      <c r="M94" s="606">
        <v>44067420</v>
      </c>
      <c r="N94" s="600" t="s">
        <v>51</v>
      </c>
      <c r="O94" s="600" t="s">
        <v>36</v>
      </c>
      <c r="P94" s="600" t="s">
        <v>308</v>
      </c>
      <c r="Q94" s="80"/>
      <c r="R94" s="623"/>
      <c r="S94" s="608"/>
      <c r="T94" s="608"/>
      <c r="U94" s="608"/>
      <c r="V94" s="608"/>
      <c r="W94" s="608"/>
      <c r="X94" s="608"/>
      <c r="Y94" s="608"/>
      <c r="Z94" s="608"/>
      <c r="AA94" s="608"/>
      <c r="AB94" s="608"/>
      <c r="AC94" s="608"/>
      <c r="AD94" s="608"/>
      <c r="AE94" s="608"/>
      <c r="AF94" s="608"/>
      <c r="AG94" s="608"/>
      <c r="AH94" s="608"/>
      <c r="AI94" s="608"/>
      <c r="AJ94" s="608"/>
      <c r="AK94" s="608"/>
      <c r="AL94" s="608"/>
      <c r="AM94" s="608"/>
    </row>
    <row r="95" spans="1:39" ht="93" hidden="1" x14ac:dyDescent="0.25">
      <c r="A95" s="599">
        <f t="shared" si="4"/>
        <v>76</v>
      </c>
      <c r="B95" s="600" t="s">
        <v>492</v>
      </c>
      <c r="C95" s="601">
        <v>43211507</v>
      </c>
      <c r="D95" s="602" t="s">
        <v>288</v>
      </c>
      <c r="E95" s="600" t="s">
        <v>68</v>
      </c>
      <c r="F95" s="600">
        <v>1</v>
      </c>
      <c r="G95" s="603" t="s">
        <v>74</v>
      </c>
      <c r="H95" s="604">
        <v>12</v>
      </c>
      <c r="I95" s="600" t="s">
        <v>285</v>
      </c>
      <c r="J95" s="600" t="s">
        <v>66</v>
      </c>
      <c r="K95" s="600" t="s">
        <v>585</v>
      </c>
      <c r="L95" s="605">
        <v>100000000</v>
      </c>
      <c r="M95" s="606">
        <v>100000000</v>
      </c>
      <c r="N95" s="600" t="s">
        <v>51</v>
      </c>
      <c r="O95" s="600" t="s">
        <v>36</v>
      </c>
      <c r="P95" s="600" t="s">
        <v>308</v>
      </c>
      <c r="Q95" s="80"/>
      <c r="R95" s="623"/>
      <c r="S95" s="608"/>
      <c r="T95" s="608"/>
      <c r="U95" s="608"/>
      <c r="V95" s="608"/>
      <c r="W95" s="608"/>
      <c r="X95" s="608"/>
      <c r="Y95" s="608"/>
      <c r="Z95" s="608"/>
      <c r="AA95" s="608"/>
      <c r="AB95" s="608"/>
      <c r="AC95" s="608"/>
      <c r="AD95" s="608"/>
      <c r="AE95" s="608"/>
      <c r="AF95" s="608"/>
      <c r="AG95" s="608"/>
      <c r="AH95" s="608"/>
      <c r="AI95" s="608"/>
      <c r="AJ95" s="608"/>
      <c r="AK95" s="608"/>
      <c r="AL95" s="608"/>
      <c r="AM95" s="608"/>
    </row>
    <row r="96" spans="1:39" ht="93" hidden="1" x14ac:dyDescent="0.25">
      <c r="A96" s="599">
        <f t="shared" si="4"/>
        <v>77</v>
      </c>
      <c r="B96" s="600" t="s">
        <v>265</v>
      </c>
      <c r="C96" s="601">
        <v>80101706</v>
      </c>
      <c r="D96" s="602" t="s">
        <v>503</v>
      </c>
      <c r="E96" s="600" t="s">
        <v>48</v>
      </c>
      <c r="F96" s="600">
        <v>1</v>
      </c>
      <c r="G96" s="603" t="s">
        <v>73</v>
      </c>
      <c r="H96" s="604">
        <v>5</v>
      </c>
      <c r="I96" s="600" t="s">
        <v>61</v>
      </c>
      <c r="J96" s="600" t="s">
        <v>66</v>
      </c>
      <c r="K96" s="600" t="s">
        <v>475</v>
      </c>
      <c r="L96" s="605">
        <v>19475000</v>
      </c>
      <c r="M96" s="606">
        <v>19475000</v>
      </c>
      <c r="N96" s="600" t="s">
        <v>51</v>
      </c>
      <c r="O96" s="600" t="s">
        <v>36</v>
      </c>
      <c r="P96" s="600" t="s">
        <v>504</v>
      </c>
      <c r="Q96" s="80"/>
      <c r="R96" s="625" t="s">
        <v>557</v>
      </c>
      <c r="S96" s="608"/>
      <c r="T96" s="608"/>
      <c r="U96" s="608"/>
      <c r="V96" s="608"/>
      <c r="W96" s="608"/>
      <c r="X96" s="608"/>
      <c r="Y96" s="608"/>
      <c r="Z96" s="608"/>
      <c r="AA96" s="608"/>
      <c r="AB96" s="608"/>
      <c r="AC96" s="608"/>
      <c r="AD96" s="608"/>
      <c r="AE96" s="608"/>
      <c r="AF96" s="608"/>
      <c r="AG96" s="608"/>
      <c r="AH96" s="608"/>
      <c r="AI96" s="608"/>
      <c r="AJ96" s="608"/>
      <c r="AK96" s="608"/>
      <c r="AL96" s="608"/>
      <c r="AM96" s="608"/>
    </row>
    <row r="97" spans="1:39" ht="116.25" x14ac:dyDescent="0.25">
      <c r="A97" s="599">
        <f t="shared" si="4"/>
        <v>78</v>
      </c>
      <c r="B97" s="600" t="s">
        <v>492</v>
      </c>
      <c r="C97" s="601">
        <v>81112501</v>
      </c>
      <c r="D97" s="602" t="s">
        <v>269</v>
      </c>
      <c r="E97" s="600" t="s">
        <v>68</v>
      </c>
      <c r="F97" s="600">
        <v>1</v>
      </c>
      <c r="G97" s="603" t="s">
        <v>76</v>
      </c>
      <c r="H97" s="604">
        <v>5</v>
      </c>
      <c r="I97" s="600" t="s">
        <v>61</v>
      </c>
      <c r="J97" s="600" t="s">
        <v>66</v>
      </c>
      <c r="K97" s="600" t="s">
        <v>495</v>
      </c>
      <c r="L97" s="605">
        <v>250000000</v>
      </c>
      <c r="M97" s="606">
        <v>250000000</v>
      </c>
      <c r="N97" s="600" t="s">
        <v>51</v>
      </c>
      <c r="O97" s="600" t="s">
        <v>36</v>
      </c>
      <c r="P97" s="600" t="s">
        <v>308</v>
      </c>
      <c r="Q97" s="80"/>
      <c r="R97" s="623"/>
      <c r="S97" s="608"/>
      <c r="T97" s="608"/>
      <c r="U97" s="608"/>
      <c r="V97" s="608"/>
      <c r="W97" s="608"/>
      <c r="X97" s="608"/>
      <c r="Y97" s="608"/>
      <c r="Z97" s="608"/>
      <c r="AA97" s="608"/>
      <c r="AB97" s="608"/>
      <c r="AC97" s="608"/>
      <c r="AD97" s="608"/>
      <c r="AE97" s="608"/>
      <c r="AF97" s="608"/>
      <c r="AG97" s="608"/>
      <c r="AH97" s="608"/>
      <c r="AI97" s="608"/>
      <c r="AJ97" s="608"/>
      <c r="AK97" s="608"/>
      <c r="AL97" s="608"/>
      <c r="AM97" s="608"/>
    </row>
    <row r="98" spans="1:39" ht="116.25" x14ac:dyDescent="0.25">
      <c r="A98" s="599">
        <f t="shared" si="4"/>
        <v>79</v>
      </c>
      <c r="B98" s="600" t="s">
        <v>492</v>
      </c>
      <c r="C98" s="601">
        <v>81112501</v>
      </c>
      <c r="D98" s="602" t="s">
        <v>268</v>
      </c>
      <c r="E98" s="600" t="s">
        <v>68</v>
      </c>
      <c r="F98" s="600">
        <v>1</v>
      </c>
      <c r="G98" s="603" t="s">
        <v>80</v>
      </c>
      <c r="H98" s="604">
        <v>5</v>
      </c>
      <c r="I98" s="600" t="s">
        <v>61</v>
      </c>
      <c r="J98" s="600" t="s">
        <v>66</v>
      </c>
      <c r="K98" s="600" t="s">
        <v>495</v>
      </c>
      <c r="L98" s="605">
        <v>250000000</v>
      </c>
      <c r="M98" s="606">
        <v>250000000</v>
      </c>
      <c r="N98" s="600" t="s">
        <v>51</v>
      </c>
      <c r="O98" s="600" t="s">
        <v>36</v>
      </c>
      <c r="P98" s="600" t="s">
        <v>308</v>
      </c>
      <c r="Q98" s="80"/>
      <c r="R98" s="623"/>
      <c r="S98" s="608"/>
      <c r="T98" s="608"/>
      <c r="U98" s="608"/>
      <c r="V98" s="608"/>
      <c r="W98" s="608"/>
      <c r="X98" s="608"/>
      <c r="Y98" s="608"/>
      <c r="Z98" s="608"/>
      <c r="AA98" s="608"/>
      <c r="AB98" s="608"/>
      <c r="AC98" s="608"/>
      <c r="AD98" s="608"/>
      <c r="AE98" s="608"/>
      <c r="AF98" s="608"/>
      <c r="AG98" s="608"/>
      <c r="AH98" s="608"/>
      <c r="AI98" s="608"/>
      <c r="AJ98" s="608"/>
      <c r="AK98" s="608"/>
      <c r="AL98" s="608"/>
      <c r="AM98" s="608"/>
    </row>
    <row r="99" spans="1:39" ht="93" hidden="1" x14ac:dyDescent="0.25">
      <c r="A99" s="599">
        <f t="shared" si="4"/>
        <v>80</v>
      </c>
      <c r="B99" s="600" t="s">
        <v>492</v>
      </c>
      <c r="C99" s="601">
        <v>44111500</v>
      </c>
      <c r="D99" s="602" t="s">
        <v>270</v>
      </c>
      <c r="E99" s="600" t="s">
        <v>68</v>
      </c>
      <c r="F99" s="600">
        <v>1</v>
      </c>
      <c r="G99" s="603" t="s">
        <v>77</v>
      </c>
      <c r="H99" s="604">
        <v>12</v>
      </c>
      <c r="I99" s="600" t="s">
        <v>173</v>
      </c>
      <c r="J99" s="600" t="s">
        <v>66</v>
      </c>
      <c r="K99" s="600" t="s">
        <v>585</v>
      </c>
      <c r="L99" s="605">
        <v>370858400.00000006</v>
      </c>
      <c r="M99" s="606">
        <v>370858400.00000006</v>
      </c>
      <c r="N99" s="600" t="s">
        <v>51</v>
      </c>
      <c r="O99" s="600" t="s">
        <v>36</v>
      </c>
      <c r="P99" s="600" t="s">
        <v>308</v>
      </c>
      <c r="Q99" s="80"/>
      <c r="R99" s="623"/>
      <c r="S99" s="608"/>
      <c r="T99" s="608"/>
      <c r="U99" s="608"/>
      <c r="V99" s="608"/>
      <c r="W99" s="608"/>
      <c r="X99" s="608"/>
      <c r="Y99" s="608"/>
      <c r="Z99" s="608"/>
      <c r="AA99" s="608"/>
      <c r="AB99" s="608"/>
      <c r="AC99" s="608"/>
      <c r="AD99" s="608"/>
      <c r="AE99" s="608"/>
      <c r="AF99" s="608"/>
      <c r="AG99" s="608"/>
      <c r="AH99" s="608"/>
      <c r="AI99" s="608"/>
      <c r="AJ99" s="608"/>
      <c r="AK99" s="608"/>
      <c r="AL99" s="608"/>
      <c r="AM99" s="608"/>
    </row>
    <row r="100" spans="1:39" ht="93" hidden="1" x14ac:dyDescent="0.25">
      <c r="A100" s="599">
        <f t="shared" si="4"/>
        <v>81</v>
      </c>
      <c r="B100" s="600" t="s">
        <v>492</v>
      </c>
      <c r="C100" s="601">
        <v>43233205</v>
      </c>
      <c r="D100" s="602" t="s">
        <v>291</v>
      </c>
      <c r="E100" s="600" t="s">
        <v>68</v>
      </c>
      <c r="F100" s="600">
        <v>1</v>
      </c>
      <c r="G100" s="603" t="s">
        <v>77</v>
      </c>
      <c r="H100" s="604" t="s">
        <v>194</v>
      </c>
      <c r="I100" s="600" t="s">
        <v>253</v>
      </c>
      <c r="J100" s="600" t="s">
        <v>66</v>
      </c>
      <c r="K100" s="600" t="s">
        <v>585</v>
      </c>
      <c r="L100" s="605">
        <v>37400000</v>
      </c>
      <c r="M100" s="606">
        <v>37400000</v>
      </c>
      <c r="N100" s="600" t="s">
        <v>51</v>
      </c>
      <c r="O100" s="600" t="s">
        <v>36</v>
      </c>
      <c r="P100" s="600" t="s">
        <v>308</v>
      </c>
      <c r="Q100" s="80"/>
      <c r="R100" s="623"/>
      <c r="S100" s="608"/>
      <c r="T100" s="608"/>
      <c r="U100" s="608"/>
      <c r="V100" s="608"/>
      <c r="W100" s="608"/>
      <c r="X100" s="608"/>
      <c r="Y100" s="608"/>
      <c r="Z100" s="608"/>
      <c r="AA100" s="608"/>
      <c r="AB100" s="608"/>
      <c r="AC100" s="608"/>
      <c r="AD100" s="608"/>
      <c r="AE100" s="608"/>
      <c r="AF100" s="608"/>
      <c r="AG100" s="608"/>
      <c r="AH100" s="608"/>
      <c r="AI100" s="608"/>
      <c r="AJ100" s="608"/>
      <c r="AK100" s="608"/>
      <c r="AL100" s="608"/>
      <c r="AM100" s="608"/>
    </row>
    <row r="101" spans="1:39" ht="93" hidden="1" x14ac:dyDescent="0.25">
      <c r="A101" s="599">
        <f t="shared" si="4"/>
        <v>82</v>
      </c>
      <c r="B101" s="600" t="s">
        <v>492</v>
      </c>
      <c r="C101" s="601">
        <v>43233501</v>
      </c>
      <c r="D101" s="602" t="s">
        <v>292</v>
      </c>
      <c r="E101" s="600" t="s">
        <v>68</v>
      </c>
      <c r="F101" s="600">
        <v>1</v>
      </c>
      <c r="G101" s="603" t="s">
        <v>77</v>
      </c>
      <c r="H101" s="604" t="s">
        <v>194</v>
      </c>
      <c r="I101" s="600" t="s">
        <v>253</v>
      </c>
      <c r="J101" s="600" t="s">
        <v>66</v>
      </c>
      <c r="K101" s="600" t="s">
        <v>585</v>
      </c>
      <c r="L101" s="605">
        <v>40000000</v>
      </c>
      <c r="M101" s="606">
        <v>40000000</v>
      </c>
      <c r="N101" s="600" t="s">
        <v>51</v>
      </c>
      <c r="O101" s="600" t="s">
        <v>36</v>
      </c>
      <c r="P101" s="600" t="s">
        <v>308</v>
      </c>
      <c r="Q101" s="80"/>
      <c r="R101" s="623"/>
      <c r="S101" s="608"/>
      <c r="T101" s="608"/>
      <c r="U101" s="608"/>
      <c r="V101" s="608"/>
      <c r="W101" s="608"/>
      <c r="X101" s="608"/>
      <c r="Y101" s="608"/>
      <c r="Z101" s="608"/>
      <c r="AA101" s="608"/>
      <c r="AB101" s="608"/>
      <c r="AC101" s="608"/>
      <c r="AD101" s="608"/>
      <c r="AE101" s="608"/>
      <c r="AF101" s="608"/>
      <c r="AG101" s="608"/>
      <c r="AH101" s="608"/>
      <c r="AI101" s="608"/>
      <c r="AJ101" s="608"/>
      <c r="AK101" s="608"/>
      <c r="AL101" s="608"/>
      <c r="AM101" s="608"/>
    </row>
    <row r="102" spans="1:39" ht="93" hidden="1" x14ac:dyDescent="0.25">
      <c r="A102" s="599">
        <f t="shared" si="4"/>
        <v>83</v>
      </c>
      <c r="B102" s="600" t="s">
        <v>492</v>
      </c>
      <c r="C102" s="601">
        <v>43231508</v>
      </c>
      <c r="D102" s="602" t="s">
        <v>295</v>
      </c>
      <c r="E102" s="600" t="s">
        <v>68</v>
      </c>
      <c r="F102" s="600">
        <v>1</v>
      </c>
      <c r="G102" s="603" t="s">
        <v>77</v>
      </c>
      <c r="H102" s="604" t="s">
        <v>194</v>
      </c>
      <c r="I102" s="600" t="s">
        <v>253</v>
      </c>
      <c r="J102" s="600" t="s">
        <v>66</v>
      </c>
      <c r="K102" s="600" t="s">
        <v>585</v>
      </c>
      <c r="L102" s="605">
        <v>81400000</v>
      </c>
      <c r="M102" s="606">
        <v>81400000</v>
      </c>
      <c r="N102" s="600" t="s">
        <v>51</v>
      </c>
      <c r="O102" s="600" t="s">
        <v>36</v>
      </c>
      <c r="P102" s="600" t="s">
        <v>308</v>
      </c>
      <c r="Q102" s="80"/>
      <c r="R102" s="623"/>
      <c r="S102" s="608"/>
      <c r="T102" s="608"/>
      <c r="U102" s="608"/>
      <c r="V102" s="608"/>
      <c r="W102" s="608"/>
      <c r="X102" s="608"/>
      <c r="Y102" s="608"/>
      <c r="Z102" s="608"/>
      <c r="AA102" s="608"/>
      <c r="AB102" s="608"/>
      <c r="AC102" s="608"/>
      <c r="AD102" s="608"/>
      <c r="AE102" s="608"/>
      <c r="AF102" s="608"/>
      <c r="AG102" s="608"/>
      <c r="AH102" s="608"/>
      <c r="AI102" s="608"/>
      <c r="AJ102" s="608"/>
      <c r="AK102" s="608"/>
      <c r="AL102" s="608"/>
      <c r="AM102" s="608"/>
    </row>
    <row r="103" spans="1:39" ht="93" hidden="1" x14ac:dyDescent="0.25">
      <c r="A103" s="599">
        <f t="shared" si="4"/>
        <v>84</v>
      </c>
      <c r="B103" s="600" t="s">
        <v>492</v>
      </c>
      <c r="C103" s="601">
        <v>43232703</v>
      </c>
      <c r="D103" s="602" t="s">
        <v>293</v>
      </c>
      <c r="E103" s="600" t="s">
        <v>68</v>
      </c>
      <c r="F103" s="600">
        <v>1</v>
      </c>
      <c r="G103" s="603" t="s">
        <v>78</v>
      </c>
      <c r="H103" s="604" t="s">
        <v>232</v>
      </c>
      <c r="I103" s="600" t="s">
        <v>253</v>
      </c>
      <c r="J103" s="600" t="s">
        <v>66</v>
      </c>
      <c r="K103" s="600" t="s">
        <v>585</v>
      </c>
      <c r="L103" s="605">
        <v>60000000</v>
      </c>
      <c r="M103" s="606">
        <v>60000000</v>
      </c>
      <c r="N103" s="600" t="s">
        <v>51</v>
      </c>
      <c r="O103" s="600" t="s">
        <v>36</v>
      </c>
      <c r="P103" s="600" t="s">
        <v>308</v>
      </c>
      <c r="Q103" s="80"/>
      <c r="R103" s="623"/>
      <c r="S103" s="608"/>
      <c r="T103" s="608"/>
      <c r="U103" s="608"/>
      <c r="V103" s="608"/>
      <c r="W103" s="608"/>
      <c r="X103" s="608"/>
      <c r="Y103" s="608"/>
      <c r="Z103" s="608"/>
      <c r="AA103" s="608"/>
      <c r="AB103" s="608"/>
      <c r="AC103" s="608"/>
      <c r="AD103" s="608"/>
      <c r="AE103" s="608"/>
      <c r="AF103" s="608"/>
      <c r="AG103" s="608"/>
      <c r="AH103" s="608"/>
      <c r="AI103" s="608"/>
      <c r="AJ103" s="608"/>
      <c r="AK103" s="608"/>
      <c r="AL103" s="608"/>
      <c r="AM103" s="608"/>
    </row>
    <row r="104" spans="1:39" ht="93" hidden="1" x14ac:dyDescent="0.25">
      <c r="A104" s="599">
        <f t="shared" si="4"/>
        <v>85</v>
      </c>
      <c r="B104" s="600" t="s">
        <v>492</v>
      </c>
      <c r="C104" s="601">
        <v>43211508</v>
      </c>
      <c r="D104" s="627" t="s">
        <v>496</v>
      </c>
      <c r="E104" s="600" t="s">
        <v>48</v>
      </c>
      <c r="F104" s="600">
        <v>1</v>
      </c>
      <c r="G104" s="603" t="s">
        <v>180</v>
      </c>
      <c r="H104" s="604" t="s">
        <v>156</v>
      </c>
      <c r="I104" s="600" t="s">
        <v>285</v>
      </c>
      <c r="J104" s="600" t="s">
        <v>35</v>
      </c>
      <c r="K104" s="600" t="s">
        <v>322</v>
      </c>
      <c r="L104" s="605">
        <v>80000000</v>
      </c>
      <c r="M104" s="606">
        <v>80000000</v>
      </c>
      <c r="N104" s="600" t="s">
        <v>51</v>
      </c>
      <c r="O104" s="600" t="s">
        <v>36</v>
      </c>
      <c r="P104" s="600" t="s">
        <v>308</v>
      </c>
      <c r="Q104" s="80"/>
      <c r="R104" s="623"/>
      <c r="S104" s="608"/>
      <c r="T104" s="608"/>
      <c r="U104" s="608"/>
      <c r="V104" s="608"/>
      <c r="W104" s="608"/>
      <c r="X104" s="608"/>
      <c r="Y104" s="608"/>
      <c r="Z104" s="608"/>
      <c r="AA104" s="608"/>
      <c r="AB104" s="608"/>
      <c r="AC104" s="608"/>
      <c r="AD104" s="608"/>
      <c r="AE104" s="608"/>
      <c r="AF104" s="608"/>
      <c r="AG104" s="608"/>
      <c r="AH104" s="608"/>
      <c r="AI104" s="608"/>
      <c r="AJ104" s="608"/>
      <c r="AK104" s="608"/>
      <c r="AL104" s="608"/>
      <c r="AM104" s="608"/>
    </row>
    <row r="105" spans="1:39" ht="93" hidden="1" x14ac:dyDescent="0.25">
      <c r="A105" s="599">
        <f t="shared" si="4"/>
        <v>86</v>
      </c>
      <c r="B105" s="600" t="s">
        <v>492</v>
      </c>
      <c r="C105" s="601">
        <v>43232309</v>
      </c>
      <c r="D105" s="602" t="s">
        <v>497</v>
      </c>
      <c r="E105" s="600" t="s">
        <v>68</v>
      </c>
      <c r="F105" s="600">
        <v>1</v>
      </c>
      <c r="G105" s="603" t="s">
        <v>80</v>
      </c>
      <c r="H105" s="604">
        <v>12</v>
      </c>
      <c r="I105" s="600" t="s">
        <v>285</v>
      </c>
      <c r="J105" s="600" t="s">
        <v>66</v>
      </c>
      <c r="K105" s="600" t="s">
        <v>585</v>
      </c>
      <c r="L105" s="605">
        <v>90580000</v>
      </c>
      <c r="M105" s="606">
        <v>90580000</v>
      </c>
      <c r="N105" s="600" t="s">
        <v>51</v>
      </c>
      <c r="O105" s="600" t="s">
        <v>36</v>
      </c>
      <c r="P105" s="600" t="s">
        <v>308</v>
      </c>
      <c r="Q105" s="80"/>
      <c r="R105" s="623"/>
      <c r="S105" s="608"/>
      <c r="T105" s="608"/>
      <c r="U105" s="608"/>
      <c r="V105" s="608"/>
      <c r="W105" s="608"/>
      <c r="X105" s="608"/>
      <c r="Y105" s="608"/>
      <c r="Z105" s="608"/>
      <c r="AA105" s="608"/>
      <c r="AB105" s="608"/>
      <c r="AC105" s="608"/>
      <c r="AD105" s="608"/>
      <c r="AE105" s="608"/>
      <c r="AF105" s="608"/>
      <c r="AG105" s="608"/>
      <c r="AH105" s="608"/>
      <c r="AI105" s="608"/>
      <c r="AJ105" s="608"/>
      <c r="AK105" s="608"/>
      <c r="AL105" s="608"/>
      <c r="AM105" s="608"/>
    </row>
    <row r="106" spans="1:39" ht="93" hidden="1" x14ac:dyDescent="0.25">
      <c r="A106" s="599">
        <f t="shared" si="4"/>
        <v>87</v>
      </c>
      <c r="B106" s="600" t="s">
        <v>492</v>
      </c>
      <c r="C106" s="601">
        <v>43211508</v>
      </c>
      <c r="D106" s="602" t="s">
        <v>498</v>
      </c>
      <c r="E106" s="600" t="s">
        <v>68</v>
      </c>
      <c r="F106" s="600">
        <v>1</v>
      </c>
      <c r="G106" s="603" t="s">
        <v>80</v>
      </c>
      <c r="H106" s="604">
        <v>12</v>
      </c>
      <c r="I106" s="600" t="s">
        <v>285</v>
      </c>
      <c r="J106" s="600" t="s">
        <v>66</v>
      </c>
      <c r="K106" s="600" t="s">
        <v>585</v>
      </c>
      <c r="L106" s="605">
        <v>50000000</v>
      </c>
      <c r="M106" s="606">
        <v>50000000</v>
      </c>
      <c r="N106" s="600" t="s">
        <v>51</v>
      </c>
      <c r="O106" s="600" t="s">
        <v>36</v>
      </c>
      <c r="P106" s="600" t="s">
        <v>308</v>
      </c>
      <c r="Q106" s="80"/>
      <c r="R106" s="623"/>
      <c r="S106" s="608"/>
      <c r="T106" s="608"/>
      <c r="U106" s="608"/>
      <c r="V106" s="608"/>
      <c r="W106" s="608"/>
      <c r="X106" s="608"/>
      <c r="Y106" s="608"/>
      <c r="Z106" s="608"/>
      <c r="AA106" s="608"/>
      <c r="AB106" s="608"/>
      <c r="AC106" s="608"/>
      <c r="AD106" s="608"/>
      <c r="AE106" s="608"/>
      <c r="AF106" s="608"/>
      <c r="AG106" s="608"/>
      <c r="AH106" s="608"/>
      <c r="AI106" s="608"/>
      <c r="AJ106" s="608"/>
      <c r="AK106" s="608"/>
      <c r="AL106" s="608"/>
      <c r="AM106" s="608"/>
    </row>
    <row r="107" spans="1:39" ht="93" hidden="1" x14ac:dyDescent="0.25">
      <c r="A107" s="599">
        <f t="shared" si="4"/>
        <v>88</v>
      </c>
      <c r="B107" s="600" t="s">
        <v>492</v>
      </c>
      <c r="C107" s="601">
        <v>43211508</v>
      </c>
      <c r="D107" s="627" t="s">
        <v>499</v>
      </c>
      <c r="E107" s="600" t="s">
        <v>48</v>
      </c>
      <c r="F107" s="600">
        <v>1</v>
      </c>
      <c r="G107" s="603" t="s">
        <v>180</v>
      </c>
      <c r="H107" s="604" t="s">
        <v>156</v>
      </c>
      <c r="I107" s="600" t="s">
        <v>285</v>
      </c>
      <c r="J107" s="600" t="s">
        <v>35</v>
      </c>
      <c r="K107" s="600" t="s">
        <v>322</v>
      </c>
      <c r="L107" s="605">
        <v>80000000</v>
      </c>
      <c r="M107" s="606">
        <v>80000000</v>
      </c>
      <c r="N107" s="600" t="s">
        <v>51</v>
      </c>
      <c r="O107" s="600" t="s">
        <v>36</v>
      </c>
      <c r="P107" s="600" t="s">
        <v>308</v>
      </c>
      <c r="Q107" s="80"/>
      <c r="R107" s="623"/>
      <c r="S107" s="608"/>
      <c r="T107" s="608"/>
      <c r="U107" s="608"/>
      <c r="V107" s="608"/>
      <c r="W107" s="608"/>
      <c r="X107" s="608"/>
      <c r="Y107" s="608"/>
      <c r="Z107" s="608"/>
      <c r="AA107" s="608"/>
      <c r="AB107" s="608"/>
      <c r="AC107" s="608"/>
      <c r="AD107" s="608"/>
      <c r="AE107" s="608"/>
      <c r="AF107" s="608"/>
      <c r="AG107" s="608"/>
      <c r="AH107" s="608"/>
      <c r="AI107" s="608"/>
      <c r="AJ107" s="608"/>
      <c r="AK107" s="608"/>
      <c r="AL107" s="608"/>
      <c r="AM107" s="608"/>
    </row>
    <row r="108" spans="1:39" ht="93" hidden="1" x14ac:dyDescent="0.25">
      <c r="A108" s="599">
        <f t="shared" si="4"/>
        <v>89</v>
      </c>
      <c r="B108" s="600" t="s">
        <v>265</v>
      </c>
      <c r="C108" s="601">
        <v>80101706</v>
      </c>
      <c r="D108" s="602" t="s">
        <v>503</v>
      </c>
      <c r="E108" s="600" t="s">
        <v>48</v>
      </c>
      <c r="F108" s="600">
        <v>1</v>
      </c>
      <c r="G108" s="603" t="s">
        <v>73</v>
      </c>
      <c r="H108" s="604">
        <v>5</v>
      </c>
      <c r="I108" s="600" t="s">
        <v>61</v>
      </c>
      <c r="J108" s="600" t="s">
        <v>66</v>
      </c>
      <c r="K108" s="600" t="s">
        <v>475</v>
      </c>
      <c r="L108" s="605">
        <v>10000000</v>
      </c>
      <c r="M108" s="606">
        <v>10000000</v>
      </c>
      <c r="N108" s="600" t="s">
        <v>51</v>
      </c>
      <c r="O108" s="600" t="s">
        <v>36</v>
      </c>
      <c r="P108" s="600" t="s">
        <v>504</v>
      </c>
      <c r="Q108" s="80"/>
      <c r="R108" s="625" t="s">
        <v>298</v>
      </c>
      <c r="S108" s="608"/>
      <c r="T108" s="608"/>
      <c r="U108" s="608"/>
      <c r="V108" s="608"/>
      <c r="W108" s="608"/>
      <c r="X108" s="608"/>
      <c r="Y108" s="608"/>
      <c r="Z108" s="608"/>
      <c r="AA108" s="608"/>
      <c r="AB108" s="608"/>
      <c r="AC108" s="608"/>
      <c r="AD108" s="608"/>
      <c r="AE108" s="608"/>
      <c r="AF108" s="608"/>
      <c r="AG108" s="608"/>
      <c r="AH108" s="608"/>
      <c r="AI108" s="608"/>
      <c r="AJ108" s="608"/>
      <c r="AK108" s="608"/>
      <c r="AL108" s="608"/>
      <c r="AM108" s="608"/>
    </row>
    <row r="109" spans="1:39" ht="93" hidden="1" x14ac:dyDescent="0.25">
      <c r="A109" s="599">
        <f t="shared" si="4"/>
        <v>90</v>
      </c>
      <c r="B109" s="600" t="s">
        <v>502</v>
      </c>
      <c r="C109" s="601">
        <v>32101617</v>
      </c>
      <c r="D109" s="602" t="s">
        <v>178</v>
      </c>
      <c r="E109" s="600" t="s">
        <v>48</v>
      </c>
      <c r="F109" s="600">
        <v>12</v>
      </c>
      <c r="G109" s="603" t="s">
        <v>81</v>
      </c>
      <c r="H109" s="604" t="s">
        <v>194</v>
      </c>
      <c r="I109" s="600" t="s">
        <v>55</v>
      </c>
      <c r="J109" s="600" t="s">
        <v>35</v>
      </c>
      <c r="K109" s="600" t="s">
        <v>161</v>
      </c>
      <c r="L109" s="605">
        <v>3000000</v>
      </c>
      <c r="M109" s="606">
        <v>3000000</v>
      </c>
      <c r="N109" s="600" t="s">
        <v>51</v>
      </c>
      <c r="O109" s="600" t="s">
        <v>36</v>
      </c>
      <c r="P109" s="600" t="s">
        <v>321</v>
      </c>
      <c r="Q109" s="80"/>
      <c r="R109" s="623"/>
      <c r="S109" s="608"/>
      <c r="T109" s="608"/>
      <c r="U109" s="608"/>
      <c r="V109" s="608"/>
      <c r="W109" s="608"/>
      <c r="X109" s="608"/>
      <c r="Y109" s="608"/>
      <c r="Z109" s="608"/>
      <c r="AA109" s="608"/>
      <c r="AB109" s="608"/>
      <c r="AC109" s="608"/>
      <c r="AD109" s="608"/>
      <c r="AE109" s="608"/>
      <c r="AF109" s="608"/>
      <c r="AG109" s="608"/>
      <c r="AH109" s="608"/>
      <c r="AI109" s="608"/>
      <c r="AJ109" s="608"/>
      <c r="AK109" s="608"/>
      <c r="AL109" s="608"/>
      <c r="AM109" s="608"/>
    </row>
    <row r="110" spans="1:39" ht="93" hidden="1" x14ac:dyDescent="0.25">
      <c r="A110" s="599">
        <f t="shared" si="4"/>
        <v>91</v>
      </c>
      <c r="B110" s="600" t="s">
        <v>502</v>
      </c>
      <c r="C110" s="601">
        <v>80101706</v>
      </c>
      <c r="D110" s="602" t="s">
        <v>592</v>
      </c>
      <c r="E110" s="600" t="s">
        <v>68</v>
      </c>
      <c r="F110" s="600">
        <v>1</v>
      </c>
      <c r="G110" s="603" t="s">
        <v>73</v>
      </c>
      <c r="H110" s="604" t="s">
        <v>157</v>
      </c>
      <c r="I110" s="600" t="s">
        <v>61</v>
      </c>
      <c r="J110" s="600" t="s">
        <v>35</v>
      </c>
      <c r="K110" s="600" t="s">
        <v>441</v>
      </c>
      <c r="L110" s="605">
        <v>15000000</v>
      </c>
      <c r="M110" s="606">
        <v>15000000</v>
      </c>
      <c r="N110" s="600" t="s">
        <v>51</v>
      </c>
      <c r="O110" s="600" t="s">
        <v>36</v>
      </c>
      <c r="P110" s="600" t="s">
        <v>321</v>
      </c>
      <c r="Q110" s="80"/>
      <c r="R110" s="623"/>
      <c r="S110" s="608"/>
      <c r="T110" s="608"/>
      <c r="U110" s="608"/>
      <c r="V110" s="608"/>
      <c r="W110" s="608"/>
      <c r="X110" s="608"/>
      <c r="Y110" s="608"/>
      <c r="Z110" s="608"/>
      <c r="AA110" s="608"/>
      <c r="AB110" s="608"/>
      <c r="AC110" s="608"/>
      <c r="AD110" s="608"/>
      <c r="AE110" s="608"/>
      <c r="AF110" s="608"/>
      <c r="AG110" s="608"/>
      <c r="AH110" s="608"/>
      <c r="AI110" s="608"/>
      <c r="AJ110" s="608"/>
      <c r="AK110" s="608"/>
      <c r="AL110" s="608"/>
      <c r="AM110" s="608"/>
    </row>
    <row r="111" spans="1:39" ht="93" hidden="1" x14ac:dyDescent="0.25">
      <c r="A111" s="599">
        <f t="shared" si="4"/>
        <v>92</v>
      </c>
      <c r="B111" s="600" t="s">
        <v>265</v>
      </c>
      <c r="C111" s="601">
        <v>80101706</v>
      </c>
      <c r="D111" s="602" t="s">
        <v>503</v>
      </c>
      <c r="E111" s="600" t="s">
        <v>48</v>
      </c>
      <c r="F111" s="600">
        <v>1</v>
      </c>
      <c r="G111" s="603" t="s">
        <v>73</v>
      </c>
      <c r="H111" s="604">
        <v>5</v>
      </c>
      <c r="I111" s="600" t="s">
        <v>61</v>
      </c>
      <c r="J111" s="600" t="s">
        <v>66</v>
      </c>
      <c r="K111" s="600" t="s">
        <v>475</v>
      </c>
      <c r="L111" s="605">
        <v>55000000</v>
      </c>
      <c r="M111" s="606">
        <v>55000000</v>
      </c>
      <c r="N111" s="600" t="s">
        <v>51</v>
      </c>
      <c r="O111" s="600" t="s">
        <v>36</v>
      </c>
      <c r="P111" s="600" t="s">
        <v>504</v>
      </c>
      <c r="Q111" s="80"/>
      <c r="R111" s="625" t="s">
        <v>558</v>
      </c>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row>
    <row r="112" spans="1:39" ht="93" hidden="1" x14ac:dyDescent="0.25">
      <c r="A112" s="599">
        <f t="shared" si="4"/>
        <v>93</v>
      </c>
      <c r="B112" s="600" t="s">
        <v>505</v>
      </c>
      <c r="C112" s="601">
        <v>80101706</v>
      </c>
      <c r="D112" s="602" t="s">
        <v>506</v>
      </c>
      <c r="E112" s="600" t="s">
        <v>48</v>
      </c>
      <c r="F112" s="600">
        <v>1</v>
      </c>
      <c r="G112" s="603" t="s">
        <v>73</v>
      </c>
      <c r="H112" s="604">
        <v>5</v>
      </c>
      <c r="I112" s="600" t="s">
        <v>61</v>
      </c>
      <c r="J112" s="600" t="s">
        <v>66</v>
      </c>
      <c r="K112" s="600" t="s">
        <v>475</v>
      </c>
      <c r="L112" s="605">
        <v>19475000</v>
      </c>
      <c r="M112" s="606">
        <v>19475000</v>
      </c>
      <c r="N112" s="600" t="s">
        <v>51</v>
      </c>
      <c r="O112" s="600" t="s">
        <v>36</v>
      </c>
      <c r="P112" s="600" t="s">
        <v>504</v>
      </c>
      <c r="Q112" s="80"/>
      <c r="R112" s="625" t="s">
        <v>241</v>
      </c>
      <c r="S112" s="608"/>
      <c r="T112" s="608"/>
      <c r="U112" s="608"/>
      <c r="V112" s="608"/>
      <c r="W112" s="608"/>
      <c r="X112" s="608"/>
      <c r="Y112" s="608"/>
      <c r="Z112" s="608"/>
      <c r="AA112" s="608"/>
      <c r="AB112" s="608"/>
      <c r="AC112" s="608"/>
      <c r="AD112" s="608"/>
      <c r="AE112" s="608"/>
      <c r="AF112" s="608"/>
      <c r="AG112" s="608"/>
      <c r="AH112" s="608"/>
      <c r="AI112" s="608"/>
      <c r="AJ112" s="608"/>
      <c r="AK112" s="608"/>
      <c r="AL112" s="608"/>
      <c r="AM112" s="608"/>
    </row>
    <row r="113" spans="1:39" ht="93" hidden="1" x14ac:dyDescent="0.25">
      <c r="A113" s="599">
        <f t="shared" si="4"/>
        <v>94</v>
      </c>
      <c r="B113" s="600" t="s">
        <v>505</v>
      </c>
      <c r="C113" s="601">
        <v>80101706</v>
      </c>
      <c r="D113" s="602" t="s">
        <v>506</v>
      </c>
      <c r="E113" s="600" t="s">
        <v>48</v>
      </c>
      <c r="F113" s="600">
        <v>1</v>
      </c>
      <c r="G113" s="603" t="s">
        <v>73</v>
      </c>
      <c r="H113" s="604">
        <v>5</v>
      </c>
      <c r="I113" s="600" t="s">
        <v>61</v>
      </c>
      <c r="J113" s="600" t="s">
        <v>66</v>
      </c>
      <c r="K113" s="600" t="s">
        <v>475</v>
      </c>
      <c r="L113" s="605">
        <v>33075000</v>
      </c>
      <c r="M113" s="606">
        <v>33075000</v>
      </c>
      <c r="N113" s="600" t="s">
        <v>51</v>
      </c>
      <c r="O113" s="600" t="s">
        <v>36</v>
      </c>
      <c r="P113" s="600" t="s">
        <v>504</v>
      </c>
      <c r="Q113" s="80"/>
      <c r="R113" s="625" t="s">
        <v>559</v>
      </c>
      <c r="S113" s="608"/>
      <c r="T113" s="608"/>
      <c r="U113" s="608"/>
      <c r="V113" s="608"/>
      <c r="W113" s="608"/>
      <c r="X113" s="608"/>
      <c r="Y113" s="608"/>
      <c r="Z113" s="608"/>
      <c r="AA113" s="608"/>
      <c r="AB113" s="608"/>
      <c r="AC113" s="608"/>
      <c r="AD113" s="608"/>
      <c r="AE113" s="608"/>
      <c r="AF113" s="608"/>
      <c r="AG113" s="608"/>
      <c r="AH113" s="608"/>
      <c r="AI113" s="608"/>
      <c r="AJ113" s="608"/>
      <c r="AK113" s="608"/>
      <c r="AL113" s="608"/>
      <c r="AM113" s="608"/>
    </row>
    <row r="114" spans="1:39" ht="93" hidden="1" x14ac:dyDescent="0.25">
      <c r="A114" s="599">
        <f t="shared" si="4"/>
        <v>95</v>
      </c>
      <c r="B114" s="600" t="s">
        <v>505</v>
      </c>
      <c r="C114" s="601">
        <v>80101706</v>
      </c>
      <c r="D114" s="602" t="s">
        <v>506</v>
      </c>
      <c r="E114" s="600" t="s">
        <v>48</v>
      </c>
      <c r="F114" s="600">
        <v>1</v>
      </c>
      <c r="G114" s="603" t="s">
        <v>73</v>
      </c>
      <c r="H114" s="604">
        <v>5</v>
      </c>
      <c r="I114" s="600" t="s">
        <v>61</v>
      </c>
      <c r="J114" s="600" t="s">
        <v>66</v>
      </c>
      <c r="K114" s="600" t="s">
        <v>475</v>
      </c>
      <c r="L114" s="605">
        <v>21700000</v>
      </c>
      <c r="M114" s="606">
        <v>21700000</v>
      </c>
      <c r="N114" s="600" t="s">
        <v>51</v>
      </c>
      <c r="O114" s="600" t="s">
        <v>36</v>
      </c>
      <c r="P114" s="600" t="s">
        <v>504</v>
      </c>
      <c r="Q114" s="80"/>
      <c r="R114" s="625" t="s">
        <v>242</v>
      </c>
      <c r="S114" s="608"/>
      <c r="T114" s="608"/>
      <c r="U114" s="608"/>
      <c r="V114" s="608"/>
      <c r="W114" s="608"/>
      <c r="X114" s="608"/>
      <c r="Y114" s="608"/>
      <c r="Z114" s="608"/>
      <c r="AA114" s="608"/>
      <c r="AB114" s="608"/>
      <c r="AC114" s="608"/>
      <c r="AD114" s="608"/>
      <c r="AE114" s="608"/>
      <c r="AF114" s="608"/>
      <c r="AG114" s="608"/>
      <c r="AH114" s="608"/>
      <c r="AI114" s="608"/>
      <c r="AJ114" s="608"/>
      <c r="AK114" s="608"/>
      <c r="AL114" s="608"/>
      <c r="AM114" s="608"/>
    </row>
    <row r="115" spans="1:39" ht="93" hidden="1" x14ac:dyDescent="0.25">
      <c r="A115" s="599">
        <f t="shared" si="4"/>
        <v>96</v>
      </c>
      <c r="B115" s="600" t="s">
        <v>507</v>
      </c>
      <c r="C115" s="601">
        <v>80101706</v>
      </c>
      <c r="D115" s="602" t="s">
        <v>508</v>
      </c>
      <c r="E115" s="600" t="s">
        <v>48</v>
      </c>
      <c r="F115" s="600">
        <v>1</v>
      </c>
      <c r="G115" s="603" t="s">
        <v>73</v>
      </c>
      <c r="H115" s="604">
        <v>5</v>
      </c>
      <c r="I115" s="600" t="s">
        <v>61</v>
      </c>
      <c r="J115" s="600" t="s">
        <v>66</v>
      </c>
      <c r="K115" s="600" t="s">
        <v>475</v>
      </c>
      <c r="L115" s="605">
        <v>19475000</v>
      </c>
      <c r="M115" s="606">
        <v>19475000</v>
      </c>
      <c r="N115" s="600" t="s">
        <v>51</v>
      </c>
      <c r="O115" s="600" t="s">
        <v>36</v>
      </c>
      <c r="P115" s="600" t="s">
        <v>504</v>
      </c>
      <c r="Q115" s="80"/>
      <c r="R115" s="625" t="s">
        <v>289</v>
      </c>
      <c r="S115" s="608"/>
      <c r="T115" s="608"/>
      <c r="U115" s="608"/>
      <c r="V115" s="608"/>
      <c r="W115" s="608"/>
      <c r="X115" s="608"/>
      <c r="Y115" s="608"/>
      <c r="Z115" s="608"/>
      <c r="AA115" s="608"/>
      <c r="AB115" s="608"/>
      <c r="AC115" s="608"/>
      <c r="AD115" s="608"/>
      <c r="AE115" s="608"/>
      <c r="AF115" s="608"/>
      <c r="AG115" s="608"/>
      <c r="AH115" s="608"/>
      <c r="AI115" s="608"/>
      <c r="AJ115" s="608"/>
      <c r="AK115" s="608"/>
      <c r="AL115" s="608"/>
      <c r="AM115" s="608"/>
    </row>
    <row r="116" spans="1:39" ht="93" hidden="1" x14ac:dyDescent="0.25">
      <c r="A116" s="599">
        <f t="shared" si="4"/>
        <v>97</v>
      </c>
      <c r="B116" s="600" t="s">
        <v>509</v>
      </c>
      <c r="C116" s="601">
        <v>80101706</v>
      </c>
      <c r="D116" s="602" t="s">
        <v>510</v>
      </c>
      <c r="E116" s="600" t="s">
        <v>48</v>
      </c>
      <c r="F116" s="600">
        <v>1</v>
      </c>
      <c r="G116" s="603" t="s">
        <v>73</v>
      </c>
      <c r="H116" s="604">
        <v>5</v>
      </c>
      <c r="I116" s="600" t="s">
        <v>61</v>
      </c>
      <c r="J116" s="600" t="s">
        <v>66</v>
      </c>
      <c r="K116" s="600" t="s">
        <v>475</v>
      </c>
      <c r="L116" s="605">
        <v>42500000</v>
      </c>
      <c r="M116" s="606">
        <v>42500000</v>
      </c>
      <c r="N116" s="600" t="s">
        <v>51</v>
      </c>
      <c r="O116" s="600" t="s">
        <v>36</v>
      </c>
      <c r="P116" s="600" t="s">
        <v>504</v>
      </c>
      <c r="Q116" s="80"/>
      <c r="R116" s="625" t="s">
        <v>237</v>
      </c>
      <c r="S116" s="608"/>
      <c r="T116" s="608"/>
      <c r="U116" s="608"/>
      <c r="V116" s="608"/>
      <c r="W116" s="608"/>
      <c r="X116" s="608"/>
      <c r="Y116" s="608"/>
      <c r="Z116" s="608"/>
      <c r="AA116" s="608"/>
      <c r="AB116" s="608"/>
      <c r="AC116" s="608"/>
      <c r="AD116" s="608"/>
      <c r="AE116" s="608"/>
      <c r="AF116" s="608"/>
      <c r="AG116" s="608"/>
      <c r="AH116" s="608"/>
      <c r="AI116" s="608"/>
      <c r="AJ116" s="608"/>
      <c r="AK116" s="608"/>
      <c r="AL116" s="608"/>
      <c r="AM116" s="608"/>
    </row>
    <row r="117" spans="1:39" ht="93" hidden="1" x14ac:dyDescent="0.25">
      <c r="A117" s="599">
        <f t="shared" si="4"/>
        <v>98</v>
      </c>
      <c r="B117" s="600" t="s">
        <v>301</v>
      </c>
      <c r="C117" s="601">
        <v>80101706</v>
      </c>
      <c r="D117" s="602" t="s">
        <v>511</v>
      </c>
      <c r="E117" s="600" t="s">
        <v>48</v>
      </c>
      <c r="F117" s="600">
        <v>1</v>
      </c>
      <c r="G117" s="603" t="s">
        <v>73</v>
      </c>
      <c r="H117" s="604">
        <v>5</v>
      </c>
      <c r="I117" s="600" t="s">
        <v>61</v>
      </c>
      <c r="J117" s="600" t="s">
        <v>66</v>
      </c>
      <c r="K117" s="600" t="s">
        <v>475</v>
      </c>
      <c r="L117" s="605">
        <v>45000000</v>
      </c>
      <c r="M117" s="606">
        <v>45000000</v>
      </c>
      <c r="N117" s="600" t="s">
        <v>51</v>
      </c>
      <c r="O117" s="600" t="s">
        <v>36</v>
      </c>
      <c r="P117" s="600" t="s">
        <v>504</v>
      </c>
      <c r="Q117" s="80"/>
      <c r="R117" s="625" t="s">
        <v>560</v>
      </c>
      <c r="S117" s="608"/>
      <c r="T117" s="608"/>
      <c r="U117" s="608"/>
      <c r="V117" s="608"/>
      <c r="W117" s="608"/>
      <c r="X117" s="608"/>
      <c r="Y117" s="608"/>
      <c r="Z117" s="608"/>
      <c r="AA117" s="608"/>
      <c r="AB117" s="608"/>
      <c r="AC117" s="608"/>
      <c r="AD117" s="608"/>
      <c r="AE117" s="608"/>
      <c r="AF117" s="608"/>
      <c r="AG117" s="608"/>
      <c r="AH117" s="608"/>
      <c r="AI117" s="608"/>
      <c r="AJ117" s="608"/>
      <c r="AK117" s="608"/>
      <c r="AL117" s="608"/>
      <c r="AM117" s="608"/>
    </row>
    <row r="118" spans="1:39" ht="93" hidden="1" x14ac:dyDescent="0.25">
      <c r="A118" s="599">
        <f t="shared" si="4"/>
        <v>99</v>
      </c>
      <c r="B118" s="600" t="s">
        <v>301</v>
      </c>
      <c r="C118" s="601">
        <v>80101706</v>
      </c>
      <c r="D118" s="602" t="s">
        <v>511</v>
      </c>
      <c r="E118" s="600" t="s">
        <v>48</v>
      </c>
      <c r="F118" s="600">
        <v>1</v>
      </c>
      <c r="G118" s="603" t="s">
        <v>73</v>
      </c>
      <c r="H118" s="604">
        <v>5</v>
      </c>
      <c r="I118" s="600" t="s">
        <v>61</v>
      </c>
      <c r="J118" s="600" t="s">
        <v>66</v>
      </c>
      <c r="K118" s="600" t="s">
        <v>475</v>
      </c>
      <c r="L118" s="605">
        <v>41500000</v>
      </c>
      <c r="M118" s="606">
        <v>41500000</v>
      </c>
      <c r="N118" s="600" t="s">
        <v>51</v>
      </c>
      <c r="O118" s="600" t="s">
        <v>36</v>
      </c>
      <c r="P118" s="600" t="s">
        <v>504</v>
      </c>
      <c r="Q118" s="80"/>
      <c r="R118" s="625" t="s">
        <v>561</v>
      </c>
      <c r="S118" s="608"/>
      <c r="T118" s="608"/>
      <c r="U118" s="608"/>
      <c r="V118" s="608"/>
      <c r="W118" s="608"/>
      <c r="X118" s="608"/>
      <c r="Y118" s="608"/>
      <c r="Z118" s="608"/>
      <c r="AA118" s="608"/>
      <c r="AB118" s="608"/>
      <c r="AC118" s="608"/>
      <c r="AD118" s="608"/>
      <c r="AE118" s="608"/>
      <c r="AF118" s="608"/>
      <c r="AG118" s="608"/>
      <c r="AH118" s="608"/>
      <c r="AI118" s="608"/>
      <c r="AJ118" s="608"/>
      <c r="AK118" s="608"/>
      <c r="AL118" s="608"/>
      <c r="AM118" s="608"/>
    </row>
    <row r="119" spans="1:39" ht="93" hidden="1" x14ac:dyDescent="0.25">
      <c r="A119" s="599">
        <f t="shared" si="4"/>
        <v>100</v>
      </c>
      <c r="B119" s="600" t="s">
        <v>247</v>
      </c>
      <c r="C119" s="601">
        <v>80101706</v>
      </c>
      <c r="D119" s="602" t="s">
        <v>512</v>
      </c>
      <c r="E119" s="600" t="s">
        <v>48</v>
      </c>
      <c r="F119" s="600">
        <v>1</v>
      </c>
      <c r="G119" s="603" t="s">
        <v>73</v>
      </c>
      <c r="H119" s="604">
        <v>5</v>
      </c>
      <c r="I119" s="600" t="s">
        <v>61</v>
      </c>
      <c r="J119" s="600" t="s">
        <v>66</v>
      </c>
      <c r="K119" s="600" t="s">
        <v>475</v>
      </c>
      <c r="L119" s="605">
        <v>46410000</v>
      </c>
      <c r="M119" s="606">
        <v>46410000</v>
      </c>
      <c r="N119" s="600" t="s">
        <v>51</v>
      </c>
      <c r="O119" s="600" t="s">
        <v>36</v>
      </c>
      <c r="P119" s="600" t="s">
        <v>513</v>
      </c>
      <c r="Q119" s="80"/>
      <c r="R119" s="625" t="s">
        <v>562</v>
      </c>
      <c r="S119" s="608"/>
      <c r="T119" s="608"/>
      <c r="U119" s="608"/>
      <c r="V119" s="608"/>
      <c r="W119" s="608"/>
      <c r="X119" s="608"/>
      <c r="Y119" s="608"/>
      <c r="Z119" s="608"/>
      <c r="AA119" s="608"/>
      <c r="AB119" s="608"/>
      <c r="AC119" s="608"/>
      <c r="AD119" s="608"/>
      <c r="AE119" s="608"/>
      <c r="AF119" s="608"/>
      <c r="AG119" s="608"/>
      <c r="AH119" s="608"/>
      <c r="AI119" s="608"/>
      <c r="AJ119" s="608"/>
      <c r="AK119" s="608"/>
      <c r="AL119" s="608"/>
      <c r="AM119" s="608"/>
    </row>
    <row r="120" spans="1:39" ht="116.25" x14ac:dyDescent="0.25">
      <c r="A120" s="599">
        <f t="shared" si="4"/>
        <v>101</v>
      </c>
      <c r="B120" s="600" t="s">
        <v>509</v>
      </c>
      <c r="C120" s="601">
        <v>80101706</v>
      </c>
      <c r="D120" s="602" t="s">
        <v>510</v>
      </c>
      <c r="E120" s="600" t="s">
        <v>48</v>
      </c>
      <c r="F120" s="600">
        <v>1</v>
      </c>
      <c r="G120" s="603" t="s">
        <v>73</v>
      </c>
      <c r="H120" s="604">
        <v>5</v>
      </c>
      <c r="I120" s="600" t="s">
        <v>61</v>
      </c>
      <c r="J120" s="600" t="s">
        <v>66</v>
      </c>
      <c r="K120" s="600" t="s">
        <v>495</v>
      </c>
      <c r="L120" s="605">
        <v>15165000</v>
      </c>
      <c r="M120" s="606">
        <v>15165000</v>
      </c>
      <c r="N120" s="600" t="s">
        <v>51</v>
      </c>
      <c r="O120" s="600" t="s">
        <v>36</v>
      </c>
      <c r="P120" s="600" t="s">
        <v>504</v>
      </c>
      <c r="Q120" s="80"/>
      <c r="R120" s="625" t="s">
        <v>244</v>
      </c>
      <c r="S120" s="608"/>
      <c r="T120" s="608"/>
      <c r="U120" s="608"/>
      <c r="V120" s="608"/>
      <c r="W120" s="608"/>
      <c r="X120" s="608"/>
      <c r="Y120" s="608"/>
      <c r="Z120" s="608"/>
      <c r="AA120" s="608"/>
      <c r="AB120" s="608"/>
      <c r="AC120" s="608"/>
      <c r="AD120" s="608"/>
      <c r="AE120" s="608"/>
      <c r="AF120" s="608"/>
      <c r="AG120" s="608"/>
      <c r="AH120" s="608"/>
      <c r="AI120" s="608"/>
      <c r="AJ120" s="608"/>
      <c r="AK120" s="608"/>
      <c r="AL120" s="608"/>
      <c r="AM120" s="608"/>
    </row>
    <row r="121" spans="1:39" ht="116.25" x14ac:dyDescent="0.25">
      <c r="A121" s="599">
        <f t="shared" si="4"/>
        <v>102</v>
      </c>
      <c r="B121" s="600" t="s">
        <v>509</v>
      </c>
      <c r="C121" s="601">
        <v>80101706</v>
      </c>
      <c r="D121" s="602" t="s">
        <v>510</v>
      </c>
      <c r="E121" s="600" t="s">
        <v>48</v>
      </c>
      <c r="F121" s="600">
        <v>1</v>
      </c>
      <c r="G121" s="603" t="s">
        <v>73</v>
      </c>
      <c r="H121" s="604">
        <v>5</v>
      </c>
      <c r="I121" s="600" t="s">
        <v>61</v>
      </c>
      <c r="J121" s="600" t="s">
        <v>66</v>
      </c>
      <c r="K121" s="600" t="s">
        <v>495</v>
      </c>
      <c r="L121" s="605">
        <v>30000000</v>
      </c>
      <c r="M121" s="606">
        <v>30000000</v>
      </c>
      <c r="N121" s="600" t="s">
        <v>51</v>
      </c>
      <c r="O121" s="600" t="s">
        <v>36</v>
      </c>
      <c r="P121" s="600" t="s">
        <v>504</v>
      </c>
      <c r="Q121" s="80"/>
      <c r="R121" s="625" t="s">
        <v>274</v>
      </c>
      <c r="S121" s="608"/>
      <c r="T121" s="608"/>
      <c r="U121" s="608"/>
      <c r="V121" s="608"/>
      <c r="W121" s="608"/>
      <c r="X121" s="608"/>
      <c r="Y121" s="608"/>
      <c r="Z121" s="608"/>
      <c r="AA121" s="608"/>
      <c r="AB121" s="608"/>
      <c r="AC121" s="608"/>
      <c r="AD121" s="608"/>
      <c r="AE121" s="608"/>
      <c r="AF121" s="608"/>
      <c r="AG121" s="608"/>
      <c r="AH121" s="608"/>
      <c r="AI121" s="608"/>
      <c r="AJ121" s="608"/>
      <c r="AK121" s="608"/>
      <c r="AL121" s="608"/>
      <c r="AM121" s="608"/>
    </row>
    <row r="122" spans="1:39" ht="116.25" x14ac:dyDescent="0.25">
      <c r="A122" s="599">
        <f t="shared" ref="A122:A153" si="5">SUM(A121+1)</f>
        <v>103</v>
      </c>
      <c r="B122" s="600" t="s">
        <v>509</v>
      </c>
      <c r="C122" s="601">
        <v>80101706</v>
      </c>
      <c r="D122" s="602" t="s">
        <v>510</v>
      </c>
      <c r="E122" s="600" t="s">
        <v>48</v>
      </c>
      <c r="F122" s="600">
        <v>1</v>
      </c>
      <c r="G122" s="603" t="s">
        <v>73</v>
      </c>
      <c r="H122" s="604">
        <v>5</v>
      </c>
      <c r="I122" s="600" t="s">
        <v>61</v>
      </c>
      <c r="J122" s="600" t="s">
        <v>66</v>
      </c>
      <c r="K122" s="600" t="s">
        <v>495</v>
      </c>
      <c r="L122" s="605">
        <v>19475000</v>
      </c>
      <c r="M122" s="606">
        <v>19475000</v>
      </c>
      <c r="N122" s="600" t="s">
        <v>51</v>
      </c>
      <c r="O122" s="600" t="s">
        <v>36</v>
      </c>
      <c r="P122" s="600" t="s">
        <v>504</v>
      </c>
      <c r="Q122" s="80"/>
      <c r="R122" s="625" t="s">
        <v>275</v>
      </c>
      <c r="S122" s="608"/>
      <c r="T122" s="608"/>
      <c r="U122" s="608"/>
      <c r="V122" s="608"/>
      <c r="W122" s="608"/>
      <c r="X122" s="608"/>
      <c r="Y122" s="608"/>
      <c r="Z122" s="608"/>
      <c r="AA122" s="608"/>
      <c r="AB122" s="608"/>
      <c r="AC122" s="608"/>
      <c r="AD122" s="608"/>
      <c r="AE122" s="608"/>
      <c r="AF122" s="608"/>
      <c r="AG122" s="608"/>
      <c r="AH122" s="608"/>
      <c r="AI122" s="608"/>
      <c r="AJ122" s="608"/>
      <c r="AK122" s="608"/>
      <c r="AL122" s="608"/>
      <c r="AM122" s="608"/>
    </row>
    <row r="123" spans="1:39" ht="69.75" hidden="1" x14ac:dyDescent="0.25">
      <c r="A123" s="599">
        <f t="shared" si="5"/>
        <v>104</v>
      </c>
      <c r="B123" s="600" t="s">
        <v>286</v>
      </c>
      <c r="C123" s="601">
        <v>80101706</v>
      </c>
      <c r="D123" s="602" t="s">
        <v>514</v>
      </c>
      <c r="E123" s="600" t="s">
        <v>48</v>
      </c>
      <c r="F123" s="600">
        <v>1</v>
      </c>
      <c r="G123" s="603" t="s">
        <v>73</v>
      </c>
      <c r="H123" s="604">
        <v>5</v>
      </c>
      <c r="I123" s="600" t="s">
        <v>61</v>
      </c>
      <c r="J123" s="600" t="s">
        <v>66</v>
      </c>
      <c r="K123" s="600" t="s">
        <v>475</v>
      </c>
      <c r="L123" s="605">
        <v>12500000</v>
      </c>
      <c r="M123" s="606">
        <v>12500000</v>
      </c>
      <c r="N123" s="600" t="s">
        <v>51</v>
      </c>
      <c r="O123" s="600" t="s">
        <v>36</v>
      </c>
      <c r="P123" s="600" t="s">
        <v>515</v>
      </c>
      <c r="Q123" s="80"/>
      <c r="R123" s="625" t="s">
        <v>234</v>
      </c>
      <c r="S123" s="608"/>
      <c r="T123" s="608"/>
      <c r="U123" s="608"/>
      <c r="V123" s="608"/>
      <c r="W123" s="608"/>
      <c r="X123" s="608"/>
      <c r="Y123" s="608"/>
      <c r="Z123" s="608"/>
      <c r="AA123" s="608"/>
      <c r="AB123" s="608"/>
      <c r="AC123" s="608"/>
      <c r="AD123" s="608"/>
      <c r="AE123" s="608"/>
      <c r="AF123" s="608"/>
      <c r="AG123" s="608"/>
      <c r="AH123" s="608"/>
      <c r="AI123" s="608"/>
      <c r="AJ123" s="608"/>
      <c r="AK123" s="608"/>
      <c r="AL123" s="608"/>
      <c r="AM123" s="608"/>
    </row>
    <row r="124" spans="1:39" ht="69.75" hidden="1" x14ac:dyDescent="0.25">
      <c r="A124" s="599">
        <f t="shared" si="5"/>
        <v>105</v>
      </c>
      <c r="B124" s="600" t="s">
        <v>286</v>
      </c>
      <c r="C124" s="601">
        <v>80101706</v>
      </c>
      <c r="D124" s="602" t="s">
        <v>514</v>
      </c>
      <c r="E124" s="600" t="s">
        <v>48</v>
      </c>
      <c r="F124" s="600">
        <v>1</v>
      </c>
      <c r="G124" s="603" t="s">
        <v>73</v>
      </c>
      <c r="H124" s="604">
        <v>5</v>
      </c>
      <c r="I124" s="600" t="s">
        <v>61</v>
      </c>
      <c r="J124" s="600" t="s">
        <v>66</v>
      </c>
      <c r="K124" s="600" t="s">
        <v>475</v>
      </c>
      <c r="L124" s="605">
        <v>12500000</v>
      </c>
      <c r="M124" s="606">
        <v>12500000</v>
      </c>
      <c r="N124" s="600" t="s">
        <v>51</v>
      </c>
      <c r="O124" s="600" t="s">
        <v>36</v>
      </c>
      <c r="P124" s="600" t="s">
        <v>515</v>
      </c>
      <c r="Q124" s="80"/>
      <c r="R124" s="625" t="s">
        <v>563</v>
      </c>
      <c r="S124" s="608"/>
      <c r="T124" s="608"/>
      <c r="U124" s="608"/>
      <c r="V124" s="608"/>
      <c r="W124" s="608"/>
      <c r="X124" s="608"/>
      <c r="Y124" s="608"/>
      <c r="Z124" s="608"/>
      <c r="AA124" s="608"/>
      <c r="AB124" s="608"/>
      <c r="AC124" s="608"/>
      <c r="AD124" s="608"/>
      <c r="AE124" s="608"/>
      <c r="AF124" s="608"/>
      <c r="AG124" s="608"/>
      <c r="AH124" s="608"/>
      <c r="AI124" s="608"/>
      <c r="AJ124" s="608"/>
      <c r="AK124" s="608"/>
      <c r="AL124" s="608"/>
      <c r="AM124" s="608"/>
    </row>
    <row r="125" spans="1:39" ht="69.75" hidden="1" x14ac:dyDescent="0.25">
      <c r="A125" s="599">
        <f t="shared" si="5"/>
        <v>106</v>
      </c>
      <c r="B125" s="600" t="s">
        <v>286</v>
      </c>
      <c r="C125" s="601">
        <v>80101706</v>
      </c>
      <c r="D125" s="602" t="s">
        <v>516</v>
      </c>
      <c r="E125" s="600" t="s">
        <v>48</v>
      </c>
      <c r="F125" s="600">
        <v>1</v>
      </c>
      <c r="G125" s="603" t="s">
        <v>73</v>
      </c>
      <c r="H125" s="604">
        <v>5</v>
      </c>
      <c r="I125" s="600" t="s">
        <v>61</v>
      </c>
      <c r="J125" s="600" t="s">
        <v>66</v>
      </c>
      <c r="K125" s="600" t="s">
        <v>475</v>
      </c>
      <c r="L125" s="605">
        <v>4772500</v>
      </c>
      <c r="M125" s="606">
        <v>4772500</v>
      </c>
      <c r="N125" s="600" t="s">
        <v>51</v>
      </c>
      <c r="O125" s="600" t="s">
        <v>36</v>
      </c>
      <c r="P125" s="600" t="s">
        <v>515</v>
      </c>
      <c r="Q125" s="80"/>
      <c r="R125" s="625" t="s">
        <v>564</v>
      </c>
      <c r="S125" s="608"/>
      <c r="T125" s="608"/>
      <c r="U125" s="608"/>
      <c r="V125" s="608"/>
      <c r="W125" s="608"/>
      <c r="X125" s="608"/>
      <c r="Y125" s="608"/>
      <c r="Z125" s="608"/>
      <c r="AA125" s="608"/>
      <c r="AB125" s="608"/>
      <c r="AC125" s="608"/>
      <c r="AD125" s="608"/>
      <c r="AE125" s="608"/>
      <c r="AF125" s="608"/>
      <c r="AG125" s="608"/>
      <c r="AH125" s="608"/>
      <c r="AI125" s="608"/>
      <c r="AJ125" s="608"/>
      <c r="AK125" s="608"/>
      <c r="AL125" s="608"/>
      <c r="AM125" s="608"/>
    </row>
    <row r="126" spans="1:39" ht="93" hidden="1" x14ac:dyDescent="0.25">
      <c r="A126" s="599">
        <f t="shared" si="5"/>
        <v>107</v>
      </c>
      <c r="B126" s="600" t="s">
        <v>517</v>
      </c>
      <c r="C126" s="601">
        <v>80101706</v>
      </c>
      <c r="D126" s="602" t="s">
        <v>518</v>
      </c>
      <c r="E126" s="600" t="s">
        <v>48</v>
      </c>
      <c r="F126" s="600">
        <v>1</v>
      </c>
      <c r="G126" s="603" t="s">
        <v>73</v>
      </c>
      <c r="H126" s="604">
        <v>5</v>
      </c>
      <c r="I126" s="600" t="s">
        <v>61</v>
      </c>
      <c r="J126" s="600" t="s">
        <v>66</v>
      </c>
      <c r="K126" s="600" t="s">
        <v>475</v>
      </c>
      <c r="L126" s="605">
        <v>26155000</v>
      </c>
      <c r="M126" s="606">
        <v>26155000</v>
      </c>
      <c r="N126" s="600" t="s">
        <v>51</v>
      </c>
      <c r="O126" s="600" t="s">
        <v>36</v>
      </c>
      <c r="P126" s="600" t="s">
        <v>519</v>
      </c>
      <c r="Q126" s="80"/>
      <c r="R126" s="625" t="s">
        <v>281</v>
      </c>
      <c r="S126" s="608"/>
      <c r="T126" s="608"/>
      <c r="U126" s="608"/>
      <c r="V126" s="608"/>
      <c r="W126" s="608"/>
      <c r="X126" s="608"/>
      <c r="Y126" s="608"/>
      <c r="Z126" s="608"/>
      <c r="AA126" s="608"/>
      <c r="AB126" s="608"/>
      <c r="AC126" s="608"/>
      <c r="AD126" s="608"/>
      <c r="AE126" s="608"/>
      <c r="AF126" s="608"/>
      <c r="AG126" s="608"/>
      <c r="AH126" s="608"/>
      <c r="AI126" s="608"/>
      <c r="AJ126" s="608"/>
      <c r="AK126" s="608"/>
      <c r="AL126" s="608"/>
      <c r="AM126" s="608"/>
    </row>
    <row r="127" spans="1:39" ht="116.25" x14ac:dyDescent="0.25">
      <c r="A127" s="599">
        <f t="shared" si="5"/>
        <v>108</v>
      </c>
      <c r="B127" s="600" t="s">
        <v>286</v>
      </c>
      <c r="C127" s="601">
        <v>80101706</v>
      </c>
      <c r="D127" s="602" t="s">
        <v>514</v>
      </c>
      <c r="E127" s="600" t="s">
        <v>48</v>
      </c>
      <c r="F127" s="600">
        <v>1</v>
      </c>
      <c r="G127" s="603" t="s">
        <v>73</v>
      </c>
      <c r="H127" s="604">
        <v>5</v>
      </c>
      <c r="I127" s="600" t="s">
        <v>61</v>
      </c>
      <c r="J127" s="600" t="s">
        <v>66</v>
      </c>
      <c r="K127" s="600" t="s">
        <v>495</v>
      </c>
      <c r="L127" s="605">
        <v>12500000</v>
      </c>
      <c r="M127" s="606">
        <v>12500000</v>
      </c>
      <c r="N127" s="600" t="s">
        <v>51</v>
      </c>
      <c r="O127" s="600" t="s">
        <v>36</v>
      </c>
      <c r="P127" s="600" t="s">
        <v>515</v>
      </c>
      <c r="Q127" s="80"/>
      <c r="R127" s="625" t="s">
        <v>234</v>
      </c>
      <c r="S127" s="608"/>
      <c r="T127" s="608"/>
      <c r="U127" s="608"/>
      <c r="V127" s="608"/>
      <c r="W127" s="608"/>
      <c r="X127" s="608"/>
      <c r="Y127" s="608"/>
      <c r="Z127" s="608"/>
      <c r="AA127" s="608"/>
      <c r="AB127" s="608"/>
      <c r="AC127" s="608"/>
      <c r="AD127" s="608"/>
      <c r="AE127" s="608"/>
      <c r="AF127" s="608"/>
      <c r="AG127" s="608"/>
      <c r="AH127" s="608"/>
      <c r="AI127" s="608"/>
      <c r="AJ127" s="608"/>
      <c r="AK127" s="608"/>
      <c r="AL127" s="608"/>
      <c r="AM127" s="608"/>
    </row>
    <row r="128" spans="1:39" ht="93" hidden="1" x14ac:dyDescent="0.25">
      <c r="A128" s="599">
        <f t="shared" si="5"/>
        <v>109</v>
      </c>
      <c r="B128" s="600" t="s">
        <v>517</v>
      </c>
      <c r="C128" s="601">
        <v>80101706</v>
      </c>
      <c r="D128" s="602" t="s">
        <v>518</v>
      </c>
      <c r="E128" s="600" t="s">
        <v>48</v>
      </c>
      <c r="F128" s="600">
        <v>1</v>
      </c>
      <c r="G128" s="603" t="s">
        <v>73</v>
      </c>
      <c r="H128" s="604">
        <v>5</v>
      </c>
      <c r="I128" s="600" t="s">
        <v>61</v>
      </c>
      <c r="J128" s="600" t="s">
        <v>66</v>
      </c>
      <c r="K128" s="600" t="s">
        <v>475</v>
      </c>
      <c r="L128" s="605">
        <v>26155000</v>
      </c>
      <c r="M128" s="606">
        <v>26155000</v>
      </c>
      <c r="N128" s="600" t="s">
        <v>51</v>
      </c>
      <c r="O128" s="600" t="s">
        <v>36</v>
      </c>
      <c r="P128" s="600" t="s">
        <v>519</v>
      </c>
      <c r="Q128" s="80"/>
      <c r="R128" s="625" t="s">
        <v>280</v>
      </c>
      <c r="S128" s="608"/>
      <c r="T128" s="608"/>
      <c r="U128" s="608"/>
      <c r="V128" s="608"/>
      <c r="W128" s="608"/>
      <c r="X128" s="608"/>
      <c r="Y128" s="608"/>
      <c r="Z128" s="608"/>
      <c r="AA128" s="608"/>
      <c r="AB128" s="608"/>
      <c r="AC128" s="608"/>
      <c r="AD128" s="608"/>
      <c r="AE128" s="608"/>
      <c r="AF128" s="608"/>
      <c r="AG128" s="608"/>
      <c r="AH128" s="608"/>
      <c r="AI128" s="608"/>
      <c r="AJ128" s="608"/>
      <c r="AK128" s="608"/>
      <c r="AL128" s="608"/>
      <c r="AM128" s="608"/>
    </row>
    <row r="129" spans="1:39" ht="116.25" x14ac:dyDescent="0.25">
      <c r="A129" s="599">
        <f t="shared" si="5"/>
        <v>110</v>
      </c>
      <c r="B129" s="600" t="s">
        <v>286</v>
      </c>
      <c r="C129" s="601">
        <v>80101706</v>
      </c>
      <c r="D129" s="602" t="s">
        <v>514</v>
      </c>
      <c r="E129" s="600" t="s">
        <v>48</v>
      </c>
      <c r="F129" s="600">
        <v>1</v>
      </c>
      <c r="G129" s="603" t="s">
        <v>73</v>
      </c>
      <c r="H129" s="604">
        <v>5</v>
      </c>
      <c r="I129" s="600" t="s">
        <v>61</v>
      </c>
      <c r="J129" s="600" t="s">
        <v>66</v>
      </c>
      <c r="K129" s="600" t="s">
        <v>495</v>
      </c>
      <c r="L129" s="605">
        <v>12500000</v>
      </c>
      <c r="M129" s="606">
        <v>12500000</v>
      </c>
      <c r="N129" s="600" t="s">
        <v>51</v>
      </c>
      <c r="O129" s="600" t="s">
        <v>36</v>
      </c>
      <c r="P129" s="600" t="s">
        <v>515</v>
      </c>
      <c r="Q129" s="80"/>
      <c r="R129" s="625" t="s">
        <v>563</v>
      </c>
      <c r="S129" s="608"/>
      <c r="T129" s="608"/>
      <c r="U129" s="608"/>
      <c r="V129" s="608"/>
      <c r="W129" s="608"/>
      <c r="X129" s="608"/>
      <c r="Y129" s="608"/>
      <c r="Z129" s="608"/>
      <c r="AA129" s="608"/>
      <c r="AB129" s="608"/>
      <c r="AC129" s="608"/>
      <c r="AD129" s="608"/>
      <c r="AE129" s="608"/>
      <c r="AF129" s="608"/>
      <c r="AG129" s="608"/>
      <c r="AH129" s="608"/>
      <c r="AI129" s="608"/>
      <c r="AJ129" s="608"/>
      <c r="AK129" s="608"/>
      <c r="AL129" s="608"/>
      <c r="AM129" s="608"/>
    </row>
    <row r="130" spans="1:39" ht="93" hidden="1" x14ac:dyDescent="0.25">
      <c r="A130" s="599">
        <f t="shared" si="5"/>
        <v>111</v>
      </c>
      <c r="B130" s="600" t="s">
        <v>170</v>
      </c>
      <c r="C130" s="601">
        <v>80101706</v>
      </c>
      <c r="D130" s="602" t="s">
        <v>526</v>
      </c>
      <c r="E130" s="600" t="s">
        <v>48</v>
      </c>
      <c r="F130" s="600">
        <v>1</v>
      </c>
      <c r="G130" s="603" t="s">
        <v>73</v>
      </c>
      <c r="H130" s="604">
        <v>5</v>
      </c>
      <c r="I130" s="600" t="s">
        <v>61</v>
      </c>
      <c r="J130" s="600" t="s">
        <v>66</v>
      </c>
      <c r="K130" s="600" t="s">
        <v>475</v>
      </c>
      <c r="L130" s="605">
        <v>31500000</v>
      </c>
      <c r="M130" s="606">
        <v>31500000</v>
      </c>
      <c r="N130" s="600" t="s">
        <v>51</v>
      </c>
      <c r="O130" s="600" t="s">
        <v>36</v>
      </c>
      <c r="P130" s="600" t="s">
        <v>527</v>
      </c>
      <c r="Q130" s="80"/>
      <c r="R130" s="625" t="s">
        <v>261</v>
      </c>
      <c r="S130" s="608"/>
      <c r="T130" s="608"/>
      <c r="U130" s="608"/>
      <c r="V130" s="608"/>
      <c r="W130" s="608"/>
      <c r="X130" s="608"/>
      <c r="Y130" s="608"/>
      <c r="Z130" s="608"/>
      <c r="AA130" s="608"/>
      <c r="AB130" s="608"/>
      <c r="AC130" s="608"/>
      <c r="AD130" s="608"/>
      <c r="AE130" s="608"/>
      <c r="AF130" s="608"/>
      <c r="AG130" s="608"/>
      <c r="AH130" s="608"/>
      <c r="AI130" s="608"/>
      <c r="AJ130" s="608"/>
      <c r="AK130" s="608"/>
      <c r="AL130" s="608"/>
      <c r="AM130" s="608"/>
    </row>
    <row r="131" spans="1:39" ht="116.25" x14ac:dyDescent="0.25">
      <c r="A131" s="599">
        <f t="shared" si="5"/>
        <v>112</v>
      </c>
      <c r="B131" s="600" t="s">
        <v>286</v>
      </c>
      <c r="C131" s="601">
        <v>80101706</v>
      </c>
      <c r="D131" s="602" t="s">
        <v>516</v>
      </c>
      <c r="E131" s="600" t="s">
        <v>48</v>
      </c>
      <c r="F131" s="600">
        <v>1</v>
      </c>
      <c r="G131" s="603" t="s">
        <v>73</v>
      </c>
      <c r="H131" s="604">
        <v>5</v>
      </c>
      <c r="I131" s="600" t="s">
        <v>61</v>
      </c>
      <c r="J131" s="600" t="s">
        <v>66</v>
      </c>
      <c r="K131" s="600" t="s">
        <v>495</v>
      </c>
      <c r="L131" s="605">
        <v>4772500</v>
      </c>
      <c r="M131" s="606">
        <v>4772500</v>
      </c>
      <c r="N131" s="600" t="s">
        <v>51</v>
      </c>
      <c r="O131" s="600" t="s">
        <v>36</v>
      </c>
      <c r="P131" s="600" t="s">
        <v>515</v>
      </c>
      <c r="Q131" s="80"/>
      <c r="R131" s="625" t="s">
        <v>564</v>
      </c>
      <c r="S131" s="608"/>
      <c r="T131" s="608"/>
      <c r="U131" s="608"/>
      <c r="V131" s="608"/>
      <c r="W131" s="608"/>
      <c r="X131" s="608"/>
      <c r="Y131" s="608"/>
      <c r="Z131" s="608"/>
      <c r="AA131" s="608"/>
      <c r="AB131" s="608"/>
      <c r="AC131" s="608"/>
      <c r="AD131" s="608"/>
      <c r="AE131" s="608"/>
      <c r="AF131" s="608"/>
      <c r="AG131" s="608"/>
      <c r="AH131" s="608"/>
      <c r="AI131" s="608"/>
      <c r="AJ131" s="608"/>
      <c r="AK131" s="608"/>
      <c r="AL131" s="608"/>
      <c r="AM131" s="608"/>
    </row>
    <row r="132" spans="1:39" ht="93" hidden="1" x14ac:dyDescent="0.25">
      <c r="A132" s="599">
        <f t="shared" si="5"/>
        <v>113</v>
      </c>
      <c r="B132" s="600" t="s">
        <v>170</v>
      </c>
      <c r="C132" s="601">
        <v>80101706</v>
      </c>
      <c r="D132" s="602" t="s">
        <v>526</v>
      </c>
      <c r="E132" s="600" t="s">
        <v>48</v>
      </c>
      <c r="F132" s="600">
        <v>1</v>
      </c>
      <c r="G132" s="603" t="s">
        <v>73</v>
      </c>
      <c r="H132" s="604">
        <v>5</v>
      </c>
      <c r="I132" s="600" t="s">
        <v>61</v>
      </c>
      <c r="J132" s="600" t="s">
        <v>66</v>
      </c>
      <c r="K132" s="600" t="s">
        <v>475</v>
      </c>
      <c r="L132" s="605">
        <v>43680000</v>
      </c>
      <c r="M132" s="606">
        <v>43680000</v>
      </c>
      <c r="N132" s="600" t="s">
        <v>51</v>
      </c>
      <c r="O132" s="600" t="s">
        <v>36</v>
      </c>
      <c r="P132" s="600" t="s">
        <v>527</v>
      </c>
      <c r="Q132" s="80"/>
      <c r="R132" s="625" t="s">
        <v>569</v>
      </c>
      <c r="S132" s="608"/>
      <c r="T132" s="608"/>
      <c r="U132" s="608"/>
      <c r="V132" s="608"/>
      <c r="W132" s="608"/>
      <c r="X132" s="608"/>
      <c r="Y132" s="608"/>
      <c r="Z132" s="608"/>
      <c r="AA132" s="608"/>
      <c r="AB132" s="608"/>
      <c r="AC132" s="608"/>
      <c r="AD132" s="608"/>
      <c r="AE132" s="608"/>
      <c r="AF132" s="608"/>
      <c r="AG132" s="608"/>
      <c r="AH132" s="608"/>
      <c r="AI132" s="608"/>
      <c r="AJ132" s="608"/>
      <c r="AK132" s="608"/>
      <c r="AL132" s="608"/>
      <c r="AM132" s="608"/>
    </row>
    <row r="133" spans="1:39" ht="93" hidden="1" x14ac:dyDescent="0.25">
      <c r="A133" s="599">
        <f t="shared" si="5"/>
        <v>114</v>
      </c>
      <c r="B133" s="600" t="s">
        <v>170</v>
      </c>
      <c r="C133" s="601">
        <v>80101706</v>
      </c>
      <c r="D133" s="602" t="s">
        <v>526</v>
      </c>
      <c r="E133" s="600" t="s">
        <v>48</v>
      </c>
      <c r="F133" s="600">
        <v>1</v>
      </c>
      <c r="G133" s="603" t="s">
        <v>73</v>
      </c>
      <c r="H133" s="604">
        <v>5</v>
      </c>
      <c r="I133" s="600" t="s">
        <v>61</v>
      </c>
      <c r="J133" s="600" t="s">
        <v>66</v>
      </c>
      <c r="K133" s="600" t="s">
        <v>475</v>
      </c>
      <c r="L133" s="605">
        <v>40000000</v>
      </c>
      <c r="M133" s="606">
        <v>40000000</v>
      </c>
      <c r="N133" s="600" t="s">
        <v>51</v>
      </c>
      <c r="O133" s="600" t="s">
        <v>36</v>
      </c>
      <c r="P133" s="600" t="s">
        <v>527</v>
      </c>
      <c r="Q133" s="80"/>
      <c r="R133" s="625" t="s">
        <v>570</v>
      </c>
      <c r="S133" s="608"/>
      <c r="T133" s="608"/>
      <c r="U133" s="608"/>
      <c r="V133" s="608"/>
      <c r="W133" s="608"/>
      <c r="X133" s="608"/>
      <c r="Y133" s="608"/>
      <c r="Z133" s="608"/>
      <c r="AA133" s="608"/>
      <c r="AB133" s="608"/>
      <c r="AC133" s="608"/>
      <c r="AD133" s="608"/>
      <c r="AE133" s="608"/>
      <c r="AF133" s="608"/>
      <c r="AG133" s="608"/>
      <c r="AH133" s="608"/>
      <c r="AI133" s="608"/>
      <c r="AJ133" s="608"/>
      <c r="AK133" s="608"/>
      <c r="AL133" s="608"/>
      <c r="AM133" s="608"/>
    </row>
    <row r="134" spans="1:39" ht="93" hidden="1" x14ac:dyDescent="0.25">
      <c r="A134" s="599">
        <f t="shared" si="5"/>
        <v>115</v>
      </c>
      <c r="B134" s="600" t="s">
        <v>520</v>
      </c>
      <c r="C134" s="601">
        <v>80101706</v>
      </c>
      <c r="D134" s="602" t="s">
        <v>521</v>
      </c>
      <c r="E134" s="600" t="s">
        <v>48</v>
      </c>
      <c r="F134" s="600">
        <v>1</v>
      </c>
      <c r="G134" s="603" t="s">
        <v>73</v>
      </c>
      <c r="H134" s="604">
        <v>5</v>
      </c>
      <c r="I134" s="600" t="s">
        <v>61</v>
      </c>
      <c r="J134" s="600" t="s">
        <v>35</v>
      </c>
      <c r="K134" s="600" t="s">
        <v>441</v>
      </c>
      <c r="L134" s="605">
        <v>30000000</v>
      </c>
      <c r="M134" s="606">
        <v>30000000</v>
      </c>
      <c r="N134" s="600" t="s">
        <v>51</v>
      </c>
      <c r="O134" s="600" t="s">
        <v>36</v>
      </c>
      <c r="P134" s="600" t="s">
        <v>477</v>
      </c>
      <c r="Q134" s="80"/>
      <c r="R134" s="625" t="s">
        <v>246</v>
      </c>
      <c r="S134" s="608"/>
      <c r="T134" s="608"/>
      <c r="U134" s="608"/>
      <c r="V134" s="608"/>
      <c r="W134" s="608"/>
      <c r="X134" s="608"/>
      <c r="Y134" s="608"/>
      <c r="Z134" s="608"/>
      <c r="AA134" s="608"/>
      <c r="AB134" s="608"/>
      <c r="AC134" s="608"/>
      <c r="AD134" s="608"/>
      <c r="AE134" s="608"/>
      <c r="AF134" s="608"/>
      <c r="AG134" s="608"/>
      <c r="AH134" s="608"/>
      <c r="AI134" s="608"/>
      <c r="AJ134" s="608"/>
      <c r="AK134" s="608"/>
      <c r="AL134" s="608"/>
      <c r="AM134" s="608"/>
    </row>
    <row r="135" spans="1:39" ht="93" hidden="1" x14ac:dyDescent="0.25">
      <c r="A135" s="599">
        <f t="shared" si="5"/>
        <v>116</v>
      </c>
      <c r="B135" s="600" t="s">
        <v>264</v>
      </c>
      <c r="C135" s="601">
        <v>80101706</v>
      </c>
      <c r="D135" s="602" t="s">
        <v>522</v>
      </c>
      <c r="E135" s="600" t="s">
        <v>48</v>
      </c>
      <c r="F135" s="600">
        <v>1</v>
      </c>
      <c r="G135" s="603" t="s">
        <v>73</v>
      </c>
      <c r="H135" s="604" t="s">
        <v>202</v>
      </c>
      <c r="I135" s="600" t="s">
        <v>61</v>
      </c>
      <c r="J135" s="600" t="s">
        <v>35</v>
      </c>
      <c r="K135" s="600" t="s">
        <v>441</v>
      </c>
      <c r="L135" s="605">
        <v>32320200</v>
      </c>
      <c r="M135" s="606">
        <v>32320200</v>
      </c>
      <c r="N135" s="600" t="s">
        <v>51</v>
      </c>
      <c r="O135" s="600" t="s">
        <v>36</v>
      </c>
      <c r="P135" s="600" t="s">
        <v>320</v>
      </c>
      <c r="Q135" s="80"/>
      <c r="R135" s="625" t="s">
        <v>302</v>
      </c>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row>
    <row r="136" spans="1:39" ht="116.25" x14ac:dyDescent="0.25">
      <c r="A136" s="599">
        <f t="shared" si="5"/>
        <v>117</v>
      </c>
      <c r="B136" s="600" t="s">
        <v>523</v>
      </c>
      <c r="C136" s="601">
        <v>80101706</v>
      </c>
      <c r="D136" s="602" t="s">
        <v>524</v>
      </c>
      <c r="E136" s="600" t="s">
        <v>48</v>
      </c>
      <c r="F136" s="600">
        <v>1</v>
      </c>
      <c r="G136" s="603" t="s">
        <v>73</v>
      </c>
      <c r="H136" s="604">
        <v>5</v>
      </c>
      <c r="I136" s="600" t="s">
        <v>61</v>
      </c>
      <c r="J136" s="600" t="s">
        <v>66</v>
      </c>
      <c r="K136" s="600" t="s">
        <v>495</v>
      </c>
      <c r="L136" s="605">
        <v>56450000</v>
      </c>
      <c r="M136" s="606">
        <v>56450000</v>
      </c>
      <c r="N136" s="600" t="s">
        <v>51</v>
      </c>
      <c r="O136" s="600" t="s">
        <v>36</v>
      </c>
      <c r="P136" s="600" t="s">
        <v>525</v>
      </c>
      <c r="Q136" s="80"/>
      <c r="R136" s="625" t="s">
        <v>565</v>
      </c>
      <c r="S136" s="608"/>
      <c r="T136" s="608"/>
      <c r="U136" s="608"/>
      <c r="V136" s="608"/>
      <c r="W136" s="608"/>
      <c r="X136" s="608"/>
      <c r="Y136" s="608"/>
      <c r="Z136" s="608"/>
      <c r="AA136" s="608"/>
      <c r="AB136" s="608"/>
      <c r="AC136" s="608"/>
      <c r="AD136" s="608"/>
      <c r="AE136" s="608"/>
      <c r="AF136" s="608"/>
      <c r="AG136" s="608"/>
      <c r="AH136" s="608"/>
      <c r="AI136" s="608"/>
      <c r="AJ136" s="608"/>
      <c r="AK136" s="608"/>
      <c r="AL136" s="608"/>
      <c r="AM136" s="608"/>
    </row>
    <row r="137" spans="1:39" ht="116.25" x14ac:dyDescent="0.25">
      <c r="A137" s="599">
        <f t="shared" si="5"/>
        <v>118</v>
      </c>
      <c r="B137" s="600" t="s">
        <v>523</v>
      </c>
      <c r="C137" s="601">
        <v>80101706</v>
      </c>
      <c r="D137" s="602" t="s">
        <v>524</v>
      </c>
      <c r="E137" s="600" t="s">
        <v>48</v>
      </c>
      <c r="F137" s="600">
        <v>1</v>
      </c>
      <c r="G137" s="603" t="s">
        <v>73</v>
      </c>
      <c r="H137" s="604">
        <v>5</v>
      </c>
      <c r="I137" s="600" t="s">
        <v>61</v>
      </c>
      <c r="J137" s="600" t="s">
        <v>66</v>
      </c>
      <c r="K137" s="600" t="s">
        <v>495</v>
      </c>
      <c r="L137" s="605">
        <v>25040000</v>
      </c>
      <c r="M137" s="606">
        <v>25040000</v>
      </c>
      <c r="N137" s="600" t="s">
        <v>51</v>
      </c>
      <c r="O137" s="600" t="s">
        <v>36</v>
      </c>
      <c r="P137" s="600" t="s">
        <v>525</v>
      </c>
      <c r="Q137" s="80"/>
      <c r="R137" s="625" t="s">
        <v>254</v>
      </c>
      <c r="S137" s="608"/>
      <c r="T137" s="608"/>
      <c r="U137" s="608"/>
      <c r="V137" s="608"/>
      <c r="W137" s="608"/>
      <c r="X137" s="608"/>
      <c r="Y137" s="608"/>
      <c r="Z137" s="608"/>
      <c r="AA137" s="608"/>
      <c r="AB137" s="608"/>
      <c r="AC137" s="608"/>
      <c r="AD137" s="608"/>
      <c r="AE137" s="608"/>
      <c r="AF137" s="608"/>
      <c r="AG137" s="608"/>
      <c r="AH137" s="608"/>
      <c r="AI137" s="608"/>
      <c r="AJ137" s="608"/>
      <c r="AK137" s="608"/>
      <c r="AL137" s="608"/>
      <c r="AM137" s="608"/>
    </row>
    <row r="138" spans="1:39" ht="116.25" x14ac:dyDescent="0.25">
      <c r="A138" s="599">
        <f t="shared" si="5"/>
        <v>119</v>
      </c>
      <c r="B138" s="600" t="s">
        <v>523</v>
      </c>
      <c r="C138" s="601">
        <v>80101706</v>
      </c>
      <c r="D138" s="602" t="s">
        <v>524</v>
      </c>
      <c r="E138" s="600" t="s">
        <v>48</v>
      </c>
      <c r="F138" s="600">
        <v>1</v>
      </c>
      <c r="G138" s="603" t="s">
        <v>73</v>
      </c>
      <c r="H138" s="604">
        <v>5</v>
      </c>
      <c r="I138" s="600" t="s">
        <v>61</v>
      </c>
      <c r="J138" s="600" t="s">
        <v>66</v>
      </c>
      <c r="K138" s="600" t="s">
        <v>495</v>
      </c>
      <c r="L138" s="605">
        <v>45000000</v>
      </c>
      <c r="M138" s="606">
        <v>45000000</v>
      </c>
      <c r="N138" s="600" t="s">
        <v>51</v>
      </c>
      <c r="O138" s="600" t="s">
        <v>36</v>
      </c>
      <c r="P138" s="600" t="s">
        <v>525</v>
      </c>
      <c r="Q138" s="80"/>
      <c r="R138" s="625" t="s">
        <v>566</v>
      </c>
      <c r="S138" s="608"/>
      <c r="T138" s="608"/>
      <c r="U138" s="608"/>
      <c r="V138" s="608"/>
      <c r="W138" s="608"/>
      <c r="X138" s="608"/>
      <c r="Y138" s="608"/>
      <c r="Z138" s="608"/>
      <c r="AA138" s="608"/>
      <c r="AB138" s="608"/>
      <c r="AC138" s="608"/>
      <c r="AD138" s="608"/>
      <c r="AE138" s="608"/>
      <c r="AF138" s="608"/>
      <c r="AG138" s="608"/>
      <c r="AH138" s="608"/>
      <c r="AI138" s="608"/>
      <c r="AJ138" s="608"/>
      <c r="AK138" s="608"/>
      <c r="AL138" s="608"/>
      <c r="AM138" s="608"/>
    </row>
    <row r="139" spans="1:39" ht="116.25" x14ac:dyDescent="0.25">
      <c r="A139" s="599">
        <f t="shared" si="5"/>
        <v>120</v>
      </c>
      <c r="B139" s="600" t="s">
        <v>523</v>
      </c>
      <c r="C139" s="601">
        <v>80101706</v>
      </c>
      <c r="D139" s="602" t="s">
        <v>524</v>
      </c>
      <c r="E139" s="600" t="s">
        <v>48</v>
      </c>
      <c r="F139" s="600">
        <v>1</v>
      </c>
      <c r="G139" s="603" t="s">
        <v>73</v>
      </c>
      <c r="H139" s="604">
        <v>5</v>
      </c>
      <c r="I139" s="600" t="s">
        <v>61</v>
      </c>
      <c r="J139" s="600" t="s">
        <v>66</v>
      </c>
      <c r="K139" s="600" t="s">
        <v>495</v>
      </c>
      <c r="L139" s="605">
        <v>35830000</v>
      </c>
      <c r="M139" s="606">
        <v>35830000</v>
      </c>
      <c r="N139" s="600" t="s">
        <v>51</v>
      </c>
      <c r="O139" s="600" t="s">
        <v>36</v>
      </c>
      <c r="P139" s="600" t="s">
        <v>525</v>
      </c>
      <c r="Q139" s="80"/>
      <c r="R139" s="625" t="s">
        <v>567</v>
      </c>
      <c r="S139" s="608"/>
      <c r="T139" s="608"/>
      <c r="U139" s="608"/>
      <c r="V139" s="608"/>
      <c r="W139" s="608"/>
      <c r="X139" s="608"/>
      <c r="Y139" s="608"/>
      <c r="Z139" s="608"/>
      <c r="AA139" s="608"/>
      <c r="AB139" s="608"/>
      <c r="AC139" s="608"/>
      <c r="AD139" s="608"/>
      <c r="AE139" s="608"/>
      <c r="AF139" s="608"/>
      <c r="AG139" s="608"/>
      <c r="AH139" s="608"/>
      <c r="AI139" s="608"/>
      <c r="AJ139" s="608"/>
      <c r="AK139" s="608"/>
      <c r="AL139" s="608"/>
      <c r="AM139" s="608"/>
    </row>
    <row r="140" spans="1:39" ht="116.25" x14ac:dyDescent="0.25">
      <c r="A140" s="599">
        <f t="shared" si="5"/>
        <v>121</v>
      </c>
      <c r="B140" s="600" t="s">
        <v>523</v>
      </c>
      <c r="C140" s="601">
        <v>80101706</v>
      </c>
      <c r="D140" s="602" t="s">
        <v>524</v>
      </c>
      <c r="E140" s="600" t="s">
        <v>48</v>
      </c>
      <c r="F140" s="600">
        <v>1</v>
      </c>
      <c r="G140" s="603" t="s">
        <v>73</v>
      </c>
      <c r="H140" s="604">
        <v>5</v>
      </c>
      <c r="I140" s="600" t="s">
        <v>61</v>
      </c>
      <c r="J140" s="600" t="s">
        <v>66</v>
      </c>
      <c r="K140" s="600" t="s">
        <v>495</v>
      </c>
      <c r="L140" s="605">
        <v>14000000</v>
      </c>
      <c r="M140" s="606">
        <v>14000000</v>
      </c>
      <c r="N140" s="600" t="s">
        <v>51</v>
      </c>
      <c r="O140" s="600" t="s">
        <v>36</v>
      </c>
      <c r="P140" s="600" t="s">
        <v>525</v>
      </c>
      <c r="Q140" s="80"/>
      <c r="R140" s="625" t="s">
        <v>568</v>
      </c>
      <c r="S140" s="608"/>
      <c r="T140" s="608"/>
      <c r="U140" s="608"/>
      <c r="V140" s="608"/>
      <c r="W140" s="608"/>
      <c r="X140" s="608"/>
      <c r="Y140" s="608"/>
      <c r="Z140" s="608"/>
      <c r="AA140" s="608"/>
      <c r="AB140" s="608"/>
      <c r="AC140" s="608"/>
      <c r="AD140" s="608"/>
      <c r="AE140" s="608"/>
      <c r="AF140" s="608"/>
      <c r="AG140" s="608"/>
      <c r="AH140" s="608"/>
      <c r="AI140" s="608"/>
      <c r="AJ140" s="608"/>
      <c r="AK140" s="608"/>
      <c r="AL140" s="608"/>
      <c r="AM140" s="608"/>
    </row>
    <row r="141" spans="1:39" ht="93" hidden="1" x14ac:dyDescent="0.25">
      <c r="A141" s="599">
        <f t="shared" si="5"/>
        <v>122</v>
      </c>
      <c r="B141" s="600" t="s">
        <v>266</v>
      </c>
      <c r="C141" s="601">
        <v>80101706</v>
      </c>
      <c r="D141" s="602" t="s">
        <v>528</v>
      </c>
      <c r="E141" s="600" t="s">
        <v>48</v>
      </c>
      <c r="F141" s="600">
        <v>1</v>
      </c>
      <c r="G141" s="603" t="s">
        <v>73</v>
      </c>
      <c r="H141" s="604">
        <v>5</v>
      </c>
      <c r="I141" s="600" t="s">
        <v>61</v>
      </c>
      <c r="J141" s="600" t="s">
        <v>66</v>
      </c>
      <c r="K141" s="600" t="s">
        <v>475</v>
      </c>
      <c r="L141" s="605">
        <v>24485000</v>
      </c>
      <c r="M141" s="606">
        <v>24485000</v>
      </c>
      <c r="N141" s="600" t="s">
        <v>51</v>
      </c>
      <c r="O141" s="600" t="s">
        <v>36</v>
      </c>
      <c r="P141" s="600" t="s">
        <v>529</v>
      </c>
      <c r="Q141" s="80"/>
      <c r="R141" s="625" t="s">
        <v>571</v>
      </c>
      <c r="S141" s="608"/>
      <c r="T141" s="608"/>
      <c r="U141" s="608"/>
      <c r="V141" s="608"/>
      <c r="W141" s="608"/>
      <c r="X141" s="608"/>
      <c r="Y141" s="608"/>
      <c r="Z141" s="608"/>
      <c r="AA141" s="608"/>
      <c r="AB141" s="608"/>
      <c r="AC141" s="608"/>
      <c r="AD141" s="608"/>
      <c r="AE141" s="608"/>
      <c r="AF141" s="608"/>
      <c r="AG141" s="608"/>
      <c r="AH141" s="608"/>
      <c r="AI141" s="608"/>
      <c r="AJ141" s="608"/>
      <c r="AK141" s="608"/>
      <c r="AL141" s="608"/>
      <c r="AM141" s="608"/>
    </row>
    <row r="142" spans="1:39" ht="93" hidden="1" x14ac:dyDescent="0.25">
      <c r="A142" s="599">
        <f t="shared" si="5"/>
        <v>123</v>
      </c>
      <c r="B142" s="600" t="s">
        <v>266</v>
      </c>
      <c r="C142" s="601">
        <v>80101706</v>
      </c>
      <c r="D142" s="602" t="s">
        <v>528</v>
      </c>
      <c r="E142" s="600" t="s">
        <v>48</v>
      </c>
      <c r="F142" s="600">
        <v>1</v>
      </c>
      <c r="G142" s="603" t="s">
        <v>73</v>
      </c>
      <c r="H142" s="604">
        <v>5</v>
      </c>
      <c r="I142" s="600" t="s">
        <v>61</v>
      </c>
      <c r="J142" s="600" t="s">
        <v>66</v>
      </c>
      <c r="K142" s="600" t="s">
        <v>475</v>
      </c>
      <c r="L142" s="605">
        <v>19475000</v>
      </c>
      <c r="M142" s="606">
        <v>19475000</v>
      </c>
      <c r="N142" s="600" t="s">
        <v>51</v>
      </c>
      <c r="O142" s="600" t="s">
        <v>36</v>
      </c>
      <c r="P142" s="600" t="s">
        <v>529</v>
      </c>
      <c r="Q142" s="80"/>
      <c r="R142" s="625" t="s">
        <v>258</v>
      </c>
      <c r="S142" s="608"/>
      <c r="T142" s="608"/>
      <c r="U142" s="608"/>
      <c r="V142" s="608"/>
      <c r="W142" s="608"/>
      <c r="X142" s="608"/>
      <c r="Y142" s="608"/>
      <c r="Z142" s="608"/>
      <c r="AA142" s="608"/>
      <c r="AB142" s="608"/>
      <c r="AC142" s="608"/>
      <c r="AD142" s="608"/>
      <c r="AE142" s="608"/>
      <c r="AF142" s="608"/>
      <c r="AG142" s="608"/>
      <c r="AH142" s="608"/>
      <c r="AI142" s="608"/>
      <c r="AJ142" s="608"/>
      <c r="AK142" s="608"/>
      <c r="AL142" s="608"/>
      <c r="AM142" s="608"/>
    </row>
    <row r="143" spans="1:39" ht="93" hidden="1" x14ac:dyDescent="0.25">
      <c r="A143" s="599">
        <f t="shared" si="5"/>
        <v>124</v>
      </c>
      <c r="B143" s="600" t="s">
        <v>267</v>
      </c>
      <c r="C143" s="601">
        <v>80101706</v>
      </c>
      <c r="D143" s="602" t="s">
        <v>530</v>
      </c>
      <c r="E143" s="600" t="s">
        <v>48</v>
      </c>
      <c r="F143" s="600">
        <v>1</v>
      </c>
      <c r="G143" s="603" t="s">
        <v>73</v>
      </c>
      <c r="H143" s="604">
        <v>5</v>
      </c>
      <c r="I143" s="600" t="s">
        <v>61</v>
      </c>
      <c r="J143" s="600" t="s">
        <v>66</v>
      </c>
      <c r="K143" s="600" t="s">
        <v>475</v>
      </c>
      <c r="L143" s="605">
        <v>18365000</v>
      </c>
      <c r="M143" s="606">
        <v>18365000</v>
      </c>
      <c r="N143" s="600" t="s">
        <v>51</v>
      </c>
      <c r="O143" s="600" t="s">
        <v>36</v>
      </c>
      <c r="P143" s="600" t="s">
        <v>529</v>
      </c>
      <c r="Q143" s="80"/>
      <c r="R143" s="625" t="s">
        <v>263</v>
      </c>
      <c r="S143" s="608"/>
      <c r="T143" s="608"/>
      <c r="U143" s="608"/>
      <c r="V143" s="608"/>
      <c r="W143" s="608"/>
      <c r="X143" s="608"/>
      <c r="Y143" s="608"/>
      <c r="Z143" s="608"/>
      <c r="AA143" s="608"/>
      <c r="AB143" s="608"/>
      <c r="AC143" s="608"/>
      <c r="AD143" s="608"/>
      <c r="AE143" s="608"/>
      <c r="AF143" s="608"/>
      <c r="AG143" s="608"/>
      <c r="AH143" s="608"/>
      <c r="AI143" s="608"/>
      <c r="AJ143" s="608"/>
      <c r="AK143" s="608"/>
      <c r="AL143" s="608"/>
      <c r="AM143" s="608"/>
    </row>
    <row r="144" spans="1:39" ht="93" hidden="1" x14ac:dyDescent="0.25">
      <c r="A144" s="599">
        <f t="shared" si="5"/>
        <v>125</v>
      </c>
      <c r="B144" s="600" t="s">
        <v>267</v>
      </c>
      <c r="C144" s="601">
        <v>80101706</v>
      </c>
      <c r="D144" s="602" t="s">
        <v>530</v>
      </c>
      <c r="E144" s="600" t="s">
        <v>48</v>
      </c>
      <c r="F144" s="600">
        <v>1</v>
      </c>
      <c r="G144" s="603" t="s">
        <v>73</v>
      </c>
      <c r="H144" s="604">
        <v>5</v>
      </c>
      <c r="I144" s="600" t="s">
        <v>61</v>
      </c>
      <c r="J144" s="600" t="s">
        <v>66</v>
      </c>
      <c r="K144" s="600" t="s">
        <v>475</v>
      </c>
      <c r="L144" s="605">
        <v>25000000</v>
      </c>
      <c r="M144" s="606">
        <v>25000000</v>
      </c>
      <c r="N144" s="600" t="s">
        <v>51</v>
      </c>
      <c r="O144" s="600" t="s">
        <v>36</v>
      </c>
      <c r="P144" s="600" t="s">
        <v>529</v>
      </c>
      <c r="Q144" s="80"/>
      <c r="R144" s="625" t="s">
        <v>272</v>
      </c>
      <c r="S144" s="608"/>
      <c r="T144" s="608"/>
      <c r="U144" s="608"/>
      <c r="V144" s="608"/>
      <c r="W144" s="608"/>
      <c r="X144" s="608"/>
      <c r="Y144" s="608"/>
      <c r="Z144" s="608"/>
      <c r="AA144" s="608"/>
      <c r="AB144" s="608"/>
      <c r="AC144" s="608"/>
      <c r="AD144" s="608"/>
      <c r="AE144" s="608"/>
      <c r="AF144" s="608"/>
      <c r="AG144" s="608"/>
      <c r="AH144" s="608"/>
      <c r="AI144" s="608"/>
      <c r="AJ144" s="608"/>
      <c r="AK144" s="608"/>
      <c r="AL144" s="608"/>
      <c r="AM144" s="608"/>
    </row>
    <row r="145" spans="1:39" ht="93" hidden="1" x14ac:dyDescent="0.25">
      <c r="A145" s="599">
        <f t="shared" si="5"/>
        <v>126</v>
      </c>
      <c r="B145" s="600" t="s">
        <v>267</v>
      </c>
      <c r="C145" s="601">
        <v>80101706</v>
      </c>
      <c r="D145" s="602" t="s">
        <v>530</v>
      </c>
      <c r="E145" s="600" t="s">
        <v>48</v>
      </c>
      <c r="F145" s="600">
        <v>1</v>
      </c>
      <c r="G145" s="603" t="s">
        <v>73</v>
      </c>
      <c r="H145" s="604">
        <v>5</v>
      </c>
      <c r="I145" s="600" t="s">
        <v>61</v>
      </c>
      <c r="J145" s="600" t="s">
        <v>66</v>
      </c>
      <c r="K145" s="600" t="s">
        <v>475</v>
      </c>
      <c r="L145" s="605">
        <v>25000000</v>
      </c>
      <c r="M145" s="606">
        <v>25000000</v>
      </c>
      <c r="N145" s="600" t="s">
        <v>51</v>
      </c>
      <c r="O145" s="600" t="s">
        <v>36</v>
      </c>
      <c r="P145" s="600" t="s">
        <v>529</v>
      </c>
      <c r="Q145" s="80"/>
      <c r="R145" s="625" t="s">
        <v>273</v>
      </c>
      <c r="S145" s="608"/>
      <c r="T145" s="608"/>
      <c r="U145" s="608"/>
      <c r="V145" s="608"/>
      <c r="W145" s="608"/>
      <c r="X145" s="608"/>
      <c r="Y145" s="608"/>
      <c r="Z145" s="608"/>
      <c r="AA145" s="608"/>
      <c r="AB145" s="608"/>
      <c r="AC145" s="608"/>
      <c r="AD145" s="608"/>
      <c r="AE145" s="608"/>
      <c r="AF145" s="608"/>
      <c r="AG145" s="608"/>
      <c r="AH145" s="608"/>
      <c r="AI145" s="608"/>
      <c r="AJ145" s="608"/>
      <c r="AK145" s="608"/>
      <c r="AL145" s="608"/>
      <c r="AM145" s="608"/>
    </row>
    <row r="146" spans="1:39" ht="93" hidden="1" x14ac:dyDescent="0.25">
      <c r="A146" s="599">
        <f t="shared" si="5"/>
        <v>127</v>
      </c>
      <c r="B146" s="600" t="s">
        <v>531</v>
      </c>
      <c r="C146" s="601">
        <v>80101706</v>
      </c>
      <c r="D146" s="602" t="s">
        <v>532</v>
      </c>
      <c r="E146" s="600" t="s">
        <v>48</v>
      </c>
      <c r="F146" s="600">
        <v>1</v>
      </c>
      <c r="G146" s="603" t="s">
        <v>73</v>
      </c>
      <c r="H146" s="604">
        <v>5</v>
      </c>
      <c r="I146" s="600" t="s">
        <v>61</v>
      </c>
      <c r="J146" s="600" t="s">
        <v>66</v>
      </c>
      <c r="K146" s="600" t="s">
        <v>475</v>
      </c>
      <c r="L146" s="605">
        <v>36750000</v>
      </c>
      <c r="M146" s="606">
        <v>36750000</v>
      </c>
      <c r="N146" s="600" t="s">
        <v>51</v>
      </c>
      <c r="O146" s="600" t="s">
        <v>36</v>
      </c>
      <c r="P146" s="600" t="s">
        <v>533</v>
      </c>
      <c r="Q146" s="80"/>
      <c r="R146" s="625" t="s">
        <v>260</v>
      </c>
      <c r="S146" s="608"/>
      <c r="T146" s="608"/>
      <c r="U146" s="608"/>
      <c r="V146" s="608"/>
      <c r="W146" s="608"/>
      <c r="X146" s="608"/>
      <c r="Y146" s="608"/>
      <c r="Z146" s="608"/>
      <c r="AA146" s="608"/>
      <c r="AB146" s="608"/>
      <c r="AC146" s="608"/>
      <c r="AD146" s="608"/>
      <c r="AE146" s="608"/>
      <c r="AF146" s="608"/>
      <c r="AG146" s="608"/>
      <c r="AH146" s="608"/>
      <c r="AI146" s="608"/>
      <c r="AJ146" s="608"/>
      <c r="AK146" s="608"/>
      <c r="AL146" s="608"/>
      <c r="AM146" s="608"/>
    </row>
    <row r="147" spans="1:39" ht="93" hidden="1" x14ac:dyDescent="0.25">
      <c r="A147" s="599">
        <f t="shared" si="5"/>
        <v>128</v>
      </c>
      <c r="B147" s="600" t="s">
        <v>531</v>
      </c>
      <c r="C147" s="601">
        <v>80101706</v>
      </c>
      <c r="D147" s="602" t="s">
        <v>532</v>
      </c>
      <c r="E147" s="600" t="s">
        <v>48</v>
      </c>
      <c r="F147" s="600">
        <v>1</v>
      </c>
      <c r="G147" s="603" t="s">
        <v>73</v>
      </c>
      <c r="H147" s="604">
        <v>5</v>
      </c>
      <c r="I147" s="600" t="s">
        <v>61</v>
      </c>
      <c r="J147" s="600" t="s">
        <v>66</v>
      </c>
      <c r="K147" s="600" t="s">
        <v>475</v>
      </c>
      <c r="L147" s="605">
        <v>24485000</v>
      </c>
      <c r="M147" s="606">
        <v>24485000</v>
      </c>
      <c r="N147" s="600" t="s">
        <v>51</v>
      </c>
      <c r="O147" s="600" t="s">
        <v>36</v>
      </c>
      <c r="P147" s="600" t="s">
        <v>533</v>
      </c>
      <c r="Q147" s="80"/>
      <c r="R147" s="625" t="s">
        <v>283</v>
      </c>
      <c r="S147" s="608"/>
      <c r="T147" s="608"/>
      <c r="U147" s="608"/>
      <c r="V147" s="608"/>
      <c r="W147" s="608"/>
      <c r="X147" s="608"/>
      <c r="Y147" s="608"/>
      <c r="Z147" s="608"/>
      <c r="AA147" s="608"/>
      <c r="AB147" s="608"/>
      <c r="AC147" s="608"/>
      <c r="AD147" s="608"/>
      <c r="AE147" s="608"/>
      <c r="AF147" s="608"/>
      <c r="AG147" s="608"/>
      <c r="AH147" s="608"/>
      <c r="AI147" s="608"/>
      <c r="AJ147" s="608"/>
      <c r="AK147" s="608"/>
      <c r="AL147" s="608"/>
      <c r="AM147" s="608"/>
    </row>
    <row r="148" spans="1:39" ht="93" hidden="1" x14ac:dyDescent="0.25">
      <c r="A148" s="599">
        <f t="shared" si="5"/>
        <v>129</v>
      </c>
      <c r="B148" s="600" t="s">
        <v>531</v>
      </c>
      <c r="C148" s="601">
        <v>80101706</v>
      </c>
      <c r="D148" s="602" t="s">
        <v>532</v>
      </c>
      <c r="E148" s="600" t="s">
        <v>48</v>
      </c>
      <c r="F148" s="600">
        <v>1</v>
      </c>
      <c r="G148" s="603" t="s">
        <v>73</v>
      </c>
      <c r="H148" s="604">
        <v>5</v>
      </c>
      <c r="I148" s="600" t="s">
        <v>61</v>
      </c>
      <c r="J148" s="600" t="s">
        <v>66</v>
      </c>
      <c r="K148" s="600" t="s">
        <v>475</v>
      </c>
      <c r="L148" s="605">
        <v>19475000</v>
      </c>
      <c r="M148" s="606">
        <v>19475000</v>
      </c>
      <c r="N148" s="600" t="s">
        <v>51</v>
      </c>
      <c r="O148" s="600" t="s">
        <v>36</v>
      </c>
      <c r="P148" s="600" t="s">
        <v>533</v>
      </c>
      <c r="Q148" s="80"/>
      <c r="R148" s="625" t="s">
        <v>248</v>
      </c>
      <c r="S148" s="608"/>
      <c r="T148" s="608"/>
      <c r="U148" s="608"/>
      <c r="V148" s="608"/>
      <c r="W148" s="608"/>
      <c r="X148" s="608"/>
      <c r="Y148" s="608"/>
      <c r="Z148" s="608"/>
      <c r="AA148" s="608"/>
      <c r="AB148" s="608"/>
      <c r="AC148" s="608"/>
      <c r="AD148" s="608"/>
      <c r="AE148" s="608"/>
      <c r="AF148" s="608"/>
      <c r="AG148" s="608"/>
      <c r="AH148" s="608"/>
      <c r="AI148" s="608"/>
      <c r="AJ148" s="608"/>
      <c r="AK148" s="608"/>
      <c r="AL148" s="608"/>
      <c r="AM148" s="608"/>
    </row>
    <row r="149" spans="1:39" ht="93" hidden="1" x14ac:dyDescent="0.25">
      <c r="A149" s="599">
        <f t="shared" si="5"/>
        <v>130</v>
      </c>
      <c r="B149" s="600" t="s">
        <v>531</v>
      </c>
      <c r="C149" s="601">
        <v>80101706</v>
      </c>
      <c r="D149" s="602" t="s">
        <v>532</v>
      </c>
      <c r="E149" s="600" t="s">
        <v>48</v>
      </c>
      <c r="F149" s="600">
        <v>1</v>
      </c>
      <c r="G149" s="603" t="s">
        <v>73</v>
      </c>
      <c r="H149" s="604">
        <v>5</v>
      </c>
      <c r="I149" s="600" t="s">
        <v>61</v>
      </c>
      <c r="J149" s="600" t="s">
        <v>66</v>
      </c>
      <c r="K149" s="600" t="s">
        <v>475</v>
      </c>
      <c r="L149" s="605">
        <v>36750000</v>
      </c>
      <c r="M149" s="606">
        <v>36750000</v>
      </c>
      <c r="N149" s="600" t="s">
        <v>51</v>
      </c>
      <c r="O149" s="600" t="s">
        <v>36</v>
      </c>
      <c r="P149" s="600" t="s">
        <v>533</v>
      </c>
      <c r="Q149" s="80"/>
      <c r="R149" s="625" t="s">
        <v>279</v>
      </c>
      <c r="S149" s="608"/>
      <c r="T149" s="608"/>
      <c r="U149" s="608"/>
      <c r="V149" s="608"/>
      <c r="W149" s="608"/>
      <c r="X149" s="608"/>
      <c r="Y149" s="608"/>
      <c r="Z149" s="608"/>
      <c r="AA149" s="608"/>
      <c r="AB149" s="608"/>
      <c r="AC149" s="608"/>
      <c r="AD149" s="608"/>
      <c r="AE149" s="608"/>
      <c r="AF149" s="608"/>
      <c r="AG149" s="608"/>
      <c r="AH149" s="608"/>
      <c r="AI149" s="608"/>
      <c r="AJ149" s="608"/>
      <c r="AK149" s="608"/>
      <c r="AL149" s="608"/>
      <c r="AM149" s="608"/>
    </row>
    <row r="150" spans="1:39" ht="93" hidden="1" x14ac:dyDescent="0.25">
      <c r="A150" s="599">
        <f t="shared" si="5"/>
        <v>131</v>
      </c>
      <c r="B150" s="600" t="s">
        <v>531</v>
      </c>
      <c r="C150" s="601">
        <v>80101706</v>
      </c>
      <c r="D150" s="602" t="s">
        <v>532</v>
      </c>
      <c r="E150" s="600" t="s">
        <v>48</v>
      </c>
      <c r="F150" s="600">
        <v>1</v>
      </c>
      <c r="G150" s="603" t="s">
        <v>73</v>
      </c>
      <c r="H150" s="604">
        <v>5</v>
      </c>
      <c r="I150" s="600" t="s">
        <v>61</v>
      </c>
      <c r="J150" s="600" t="s">
        <v>66</v>
      </c>
      <c r="K150" s="600" t="s">
        <v>475</v>
      </c>
      <c r="L150" s="605">
        <v>36750000</v>
      </c>
      <c r="M150" s="606">
        <v>36750000</v>
      </c>
      <c r="N150" s="600" t="s">
        <v>51</v>
      </c>
      <c r="O150" s="600" t="s">
        <v>36</v>
      </c>
      <c r="P150" s="600" t="s">
        <v>533</v>
      </c>
      <c r="Q150" s="80"/>
      <c r="R150" s="625" t="s">
        <v>572</v>
      </c>
      <c r="S150" s="608"/>
      <c r="T150" s="608"/>
      <c r="U150" s="608"/>
      <c r="V150" s="608"/>
      <c r="W150" s="608"/>
      <c r="X150" s="608"/>
      <c r="Y150" s="608"/>
      <c r="Z150" s="608"/>
      <c r="AA150" s="608"/>
      <c r="AB150" s="608"/>
      <c r="AC150" s="608"/>
      <c r="AD150" s="608"/>
      <c r="AE150" s="608"/>
      <c r="AF150" s="608"/>
      <c r="AG150" s="608"/>
      <c r="AH150" s="608"/>
      <c r="AI150" s="608"/>
      <c r="AJ150" s="608"/>
      <c r="AK150" s="608"/>
      <c r="AL150" s="608"/>
      <c r="AM150" s="608"/>
    </row>
    <row r="151" spans="1:39" ht="116.25" hidden="1" x14ac:dyDescent="0.25">
      <c r="A151" s="599">
        <f t="shared" si="5"/>
        <v>132</v>
      </c>
      <c r="B151" s="600" t="s">
        <v>171</v>
      </c>
      <c r="C151" s="601">
        <v>80101706</v>
      </c>
      <c r="D151" s="602" t="s">
        <v>534</v>
      </c>
      <c r="E151" s="600" t="s">
        <v>48</v>
      </c>
      <c r="F151" s="600">
        <v>1</v>
      </c>
      <c r="G151" s="603" t="s">
        <v>73</v>
      </c>
      <c r="H151" s="604">
        <v>5</v>
      </c>
      <c r="I151" s="600" t="s">
        <v>61</v>
      </c>
      <c r="J151" s="600" t="s">
        <v>66</v>
      </c>
      <c r="K151" s="600" t="s">
        <v>475</v>
      </c>
      <c r="L151" s="605">
        <v>8425000</v>
      </c>
      <c r="M151" s="606">
        <v>8425000</v>
      </c>
      <c r="N151" s="600" t="s">
        <v>51</v>
      </c>
      <c r="O151" s="600" t="s">
        <v>36</v>
      </c>
      <c r="P151" s="600" t="s">
        <v>535</v>
      </c>
      <c r="Q151" s="80"/>
      <c r="R151" s="625" t="s">
        <v>573</v>
      </c>
      <c r="S151" s="608"/>
      <c r="T151" s="608"/>
      <c r="U151" s="608"/>
      <c r="V151" s="608"/>
      <c r="W151" s="608"/>
      <c r="X151" s="608"/>
      <c r="Y151" s="608"/>
      <c r="Z151" s="608"/>
      <c r="AA151" s="608"/>
      <c r="AB151" s="608"/>
      <c r="AC151" s="608"/>
      <c r="AD151" s="608"/>
      <c r="AE151" s="608"/>
      <c r="AF151" s="608"/>
      <c r="AG151" s="608"/>
      <c r="AH151" s="608"/>
      <c r="AI151" s="608"/>
      <c r="AJ151" s="608"/>
      <c r="AK151" s="608"/>
      <c r="AL151" s="608"/>
      <c r="AM151" s="608"/>
    </row>
    <row r="152" spans="1:39" ht="116.25" hidden="1" x14ac:dyDescent="0.25">
      <c r="A152" s="599">
        <f t="shared" si="5"/>
        <v>133</v>
      </c>
      <c r="B152" s="600" t="s">
        <v>171</v>
      </c>
      <c r="C152" s="601">
        <v>80101706</v>
      </c>
      <c r="D152" s="602" t="s">
        <v>536</v>
      </c>
      <c r="E152" s="600" t="s">
        <v>48</v>
      </c>
      <c r="F152" s="600">
        <v>1</v>
      </c>
      <c r="G152" s="603" t="s">
        <v>73</v>
      </c>
      <c r="H152" s="604">
        <v>5</v>
      </c>
      <c r="I152" s="600" t="s">
        <v>61</v>
      </c>
      <c r="J152" s="600" t="s">
        <v>66</v>
      </c>
      <c r="K152" s="600" t="s">
        <v>475</v>
      </c>
      <c r="L152" s="605">
        <v>17590000</v>
      </c>
      <c r="M152" s="606">
        <v>17590000</v>
      </c>
      <c r="N152" s="600" t="s">
        <v>51</v>
      </c>
      <c r="O152" s="600" t="s">
        <v>36</v>
      </c>
      <c r="P152" s="600" t="s">
        <v>535</v>
      </c>
      <c r="Q152" s="80"/>
      <c r="R152" s="625" t="s">
        <v>238</v>
      </c>
      <c r="S152" s="608"/>
      <c r="T152" s="608"/>
      <c r="U152" s="608"/>
      <c r="V152" s="608"/>
      <c r="W152" s="608"/>
      <c r="X152" s="608"/>
      <c r="Y152" s="608"/>
      <c r="Z152" s="608"/>
      <c r="AA152" s="608"/>
      <c r="AB152" s="608"/>
      <c r="AC152" s="608"/>
      <c r="AD152" s="608"/>
      <c r="AE152" s="608"/>
      <c r="AF152" s="608"/>
      <c r="AG152" s="608"/>
      <c r="AH152" s="608"/>
      <c r="AI152" s="608"/>
      <c r="AJ152" s="608"/>
      <c r="AK152" s="608"/>
      <c r="AL152" s="608"/>
      <c r="AM152" s="608"/>
    </row>
    <row r="153" spans="1:39" ht="116.25" hidden="1" x14ac:dyDescent="0.25">
      <c r="A153" s="599">
        <f t="shared" si="5"/>
        <v>134</v>
      </c>
      <c r="B153" s="600" t="s">
        <v>171</v>
      </c>
      <c r="C153" s="601">
        <v>80101706</v>
      </c>
      <c r="D153" s="602" t="s">
        <v>536</v>
      </c>
      <c r="E153" s="600" t="s">
        <v>48</v>
      </c>
      <c r="F153" s="600">
        <v>1</v>
      </c>
      <c r="G153" s="603" t="s">
        <v>73</v>
      </c>
      <c r="H153" s="604">
        <v>5</v>
      </c>
      <c r="I153" s="600" t="s">
        <v>61</v>
      </c>
      <c r="J153" s="600" t="s">
        <v>66</v>
      </c>
      <c r="K153" s="600" t="s">
        <v>475</v>
      </c>
      <c r="L153" s="605">
        <v>45927500</v>
      </c>
      <c r="M153" s="606">
        <v>45927500</v>
      </c>
      <c r="N153" s="600" t="s">
        <v>51</v>
      </c>
      <c r="O153" s="600" t="s">
        <v>36</v>
      </c>
      <c r="P153" s="600" t="s">
        <v>535</v>
      </c>
      <c r="Q153" s="80"/>
      <c r="R153" s="625" t="s">
        <v>239</v>
      </c>
      <c r="S153" s="608"/>
      <c r="T153" s="608"/>
      <c r="U153" s="608"/>
      <c r="V153" s="608"/>
      <c r="W153" s="608"/>
      <c r="X153" s="608"/>
      <c r="Y153" s="608"/>
      <c r="Z153" s="608"/>
      <c r="AA153" s="608"/>
      <c r="AB153" s="608"/>
      <c r="AC153" s="608"/>
      <c r="AD153" s="608"/>
      <c r="AE153" s="608"/>
      <c r="AF153" s="608"/>
      <c r="AG153" s="608"/>
      <c r="AH153" s="608"/>
      <c r="AI153" s="608"/>
      <c r="AJ153" s="608"/>
      <c r="AK153" s="608"/>
      <c r="AL153" s="608"/>
      <c r="AM153" s="608"/>
    </row>
    <row r="154" spans="1:39" ht="116.25" hidden="1" x14ac:dyDescent="0.25">
      <c r="A154" s="599">
        <f t="shared" ref="A154:A184" si="6">SUM(A153+1)</f>
        <v>135</v>
      </c>
      <c r="B154" s="600" t="s">
        <v>171</v>
      </c>
      <c r="C154" s="601">
        <v>80101706</v>
      </c>
      <c r="D154" s="602" t="s">
        <v>536</v>
      </c>
      <c r="E154" s="600" t="s">
        <v>48</v>
      </c>
      <c r="F154" s="600">
        <v>1</v>
      </c>
      <c r="G154" s="603" t="s">
        <v>73</v>
      </c>
      <c r="H154" s="604">
        <v>5</v>
      </c>
      <c r="I154" s="600" t="s">
        <v>61</v>
      </c>
      <c r="J154" s="600" t="s">
        <v>66</v>
      </c>
      <c r="K154" s="600" t="s">
        <v>475</v>
      </c>
      <c r="L154" s="605">
        <v>17590000</v>
      </c>
      <c r="M154" s="606">
        <v>17590000</v>
      </c>
      <c r="N154" s="600" t="s">
        <v>51</v>
      </c>
      <c r="O154" s="600" t="s">
        <v>36</v>
      </c>
      <c r="P154" s="600" t="s">
        <v>535</v>
      </c>
      <c r="Q154" s="80"/>
      <c r="R154" s="625" t="s">
        <v>240</v>
      </c>
      <c r="S154" s="608"/>
      <c r="T154" s="608"/>
      <c r="U154" s="608"/>
      <c r="V154" s="608"/>
      <c r="W154" s="608"/>
      <c r="X154" s="608"/>
      <c r="Y154" s="608"/>
      <c r="Z154" s="608"/>
      <c r="AA154" s="608"/>
      <c r="AB154" s="608"/>
      <c r="AC154" s="608"/>
      <c r="AD154" s="608"/>
      <c r="AE154" s="608"/>
      <c r="AF154" s="608"/>
      <c r="AG154" s="608"/>
      <c r="AH154" s="608"/>
      <c r="AI154" s="608"/>
      <c r="AJ154" s="608"/>
      <c r="AK154" s="608"/>
      <c r="AL154" s="608"/>
      <c r="AM154" s="608"/>
    </row>
    <row r="155" spans="1:39" ht="116.25" hidden="1" x14ac:dyDescent="0.25">
      <c r="A155" s="599">
        <f t="shared" si="6"/>
        <v>136</v>
      </c>
      <c r="B155" s="600" t="s">
        <v>171</v>
      </c>
      <c r="C155" s="601">
        <v>80101706</v>
      </c>
      <c r="D155" s="602" t="s">
        <v>536</v>
      </c>
      <c r="E155" s="600" t="s">
        <v>48</v>
      </c>
      <c r="F155" s="600">
        <v>1</v>
      </c>
      <c r="G155" s="603" t="s">
        <v>73</v>
      </c>
      <c r="H155" s="604">
        <v>5</v>
      </c>
      <c r="I155" s="600" t="s">
        <v>61</v>
      </c>
      <c r="J155" s="600" t="s">
        <v>66</v>
      </c>
      <c r="K155" s="600" t="s">
        <v>475</v>
      </c>
      <c r="L155" s="605">
        <v>36750000</v>
      </c>
      <c r="M155" s="606">
        <v>36750000</v>
      </c>
      <c r="N155" s="600" t="s">
        <v>51</v>
      </c>
      <c r="O155" s="600" t="s">
        <v>36</v>
      </c>
      <c r="P155" s="600" t="s">
        <v>535</v>
      </c>
      <c r="Q155" s="80"/>
      <c r="R155" s="625" t="s">
        <v>282</v>
      </c>
      <c r="S155" s="608"/>
      <c r="T155" s="608"/>
      <c r="U155" s="608"/>
      <c r="V155" s="608"/>
      <c r="W155" s="608"/>
      <c r="X155" s="608"/>
      <c r="Y155" s="608"/>
      <c r="Z155" s="608"/>
      <c r="AA155" s="608"/>
      <c r="AB155" s="608"/>
      <c r="AC155" s="608"/>
      <c r="AD155" s="608"/>
      <c r="AE155" s="608"/>
      <c r="AF155" s="608"/>
      <c r="AG155" s="608"/>
      <c r="AH155" s="608"/>
      <c r="AI155" s="608"/>
      <c r="AJ155" s="608"/>
      <c r="AK155" s="608"/>
      <c r="AL155" s="608"/>
      <c r="AM155" s="608"/>
    </row>
    <row r="156" spans="1:39" ht="69.75" hidden="1" x14ac:dyDescent="0.25">
      <c r="A156" s="599">
        <f t="shared" si="6"/>
        <v>137</v>
      </c>
      <c r="B156" s="600" t="s">
        <v>540</v>
      </c>
      <c r="C156" s="601">
        <v>80101706</v>
      </c>
      <c r="D156" s="602" t="s">
        <v>541</v>
      </c>
      <c r="E156" s="600" t="s">
        <v>48</v>
      </c>
      <c r="F156" s="600">
        <v>1</v>
      </c>
      <c r="G156" s="603" t="s">
        <v>73</v>
      </c>
      <c r="H156" s="604">
        <v>5</v>
      </c>
      <c r="I156" s="600" t="s">
        <v>61</v>
      </c>
      <c r="J156" s="600" t="s">
        <v>66</v>
      </c>
      <c r="K156" s="600" t="s">
        <v>475</v>
      </c>
      <c r="L156" s="605">
        <v>23500000</v>
      </c>
      <c r="M156" s="606">
        <v>23500000</v>
      </c>
      <c r="N156" s="600" t="s">
        <v>51</v>
      </c>
      <c r="O156" s="600" t="s">
        <v>36</v>
      </c>
      <c r="P156" s="600" t="s">
        <v>542</v>
      </c>
      <c r="Q156" s="80"/>
      <c r="R156" s="625" t="s">
        <v>579</v>
      </c>
      <c r="S156" s="608"/>
      <c r="T156" s="608"/>
      <c r="U156" s="608"/>
      <c r="V156" s="608"/>
      <c r="W156" s="608"/>
      <c r="X156" s="608"/>
      <c r="Y156" s="608"/>
      <c r="Z156" s="608"/>
      <c r="AA156" s="608"/>
      <c r="AB156" s="608"/>
      <c r="AC156" s="608"/>
      <c r="AD156" s="608"/>
      <c r="AE156" s="608"/>
      <c r="AF156" s="608"/>
      <c r="AG156" s="608"/>
      <c r="AH156" s="608"/>
      <c r="AI156" s="608"/>
      <c r="AJ156" s="608"/>
      <c r="AK156" s="608"/>
      <c r="AL156" s="608"/>
      <c r="AM156" s="608"/>
    </row>
    <row r="157" spans="1:39" ht="69.75" hidden="1" x14ac:dyDescent="0.25">
      <c r="A157" s="599">
        <f t="shared" si="6"/>
        <v>138</v>
      </c>
      <c r="B157" s="600" t="s">
        <v>540</v>
      </c>
      <c r="C157" s="601">
        <v>80101706</v>
      </c>
      <c r="D157" s="602" t="s">
        <v>541</v>
      </c>
      <c r="E157" s="600" t="s">
        <v>48</v>
      </c>
      <c r="F157" s="600">
        <v>1</v>
      </c>
      <c r="G157" s="603" t="s">
        <v>73</v>
      </c>
      <c r="H157" s="604">
        <v>5</v>
      </c>
      <c r="I157" s="600" t="s">
        <v>61</v>
      </c>
      <c r="J157" s="600" t="s">
        <v>66</v>
      </c>
      <c r="K157" s="600" t="s">
        <v>475</v>
      </c>
      <c r="L157" s="605">
        <v>19000000</v>
      </c>
      <c r="M157" s="606">
        <v>19000000</v>
      </c>
      <c r="N157" s="600" t="s">
        <v>51</v>
      </c>
      <c r="O157" s="600" t="s">
        <v>36</v>
      </c>
      <c r="P157" s="600" t="s">
        <v>542</v>
      </c>
      <c r="Q157" s="80"/>
      <c r="R157" s="625" t="s">
        <v>580</v>
      </c>
      <c r="S157" s="608"/>
      <c r="T157" s="608"/>
      <c r="U157" s="608"/>
      <c r="V157" s="608"/>
      <c r="W157" s="608"/>
      <c r="X157" s="608"/>
      <c r="Y157" s="608"/>
      <c r="Z157" s="608"/>
      <c r="AA157" s="608"/>
      <c r="AB157" s="608"/>
      <c r="AC157" s="608"/>
      <c r="AD157" s="608"/>
      <c r="AE157" s="608"/>
      <c r="AF157" s="608"/>
      <c r="AG157" s="608"/>
      <c r="AH157" s="608"/>
      <c r="AI157" s="608"/>
      <c r="AJ157" s="608"/>
      <c r="AK157" s="608"/>
      <c r="AL157" s="608"/>
      <c r="AM157" s="608"/>
    </row>
    <row r="158" spans="1:39" ht="69.75" hidden="1" x14ac:dyDescent="0.25">
      <c r="A158" s="599">
        <f t="shared" si="6"/>
        <v>139</v>
      </c>
      <c r="B158" s="600" t="s">
        <v>540</v>
      </c>
      <c r="C158" s="601">
        <v>80101706</v>
      </c>
      <c r="D158" s="602" t="s">
        <v>541</v>
      </c>
      <c r="E158" s="600" t="s">
        <v>48</v>
      </c>
      <c r="F158" s="600">
        <v>1</v>
      </c>
      <c r="G158" s="603" t="s">
        <v>73</v>
      </c>
      <c r="H158" s="604">
        <v>5</v>
      </c>
      <c r="I158" s="600" t="s">
        <v>61</v>
      </c>
      <c r="J158" s="600" t="s">
        <v>66</v>
      </c>
      <c r="K158" s="600" t="s">
        <v>475</v>
      </c>
      <c r="L158" s="605">
        <v>21000000</v>
      </c>
      <c r="M158" s="606">
        <v>21000000</v>
      </c>
      <c r="N158" s="600" t="s">
        <v>51</v>
      </c>
      <c r="O158" s="600" t="s">
        <v>36</v>
      </c>
      <c r="P158" s="600" t="s">
        <v>542</v>
      </c>
      <c r="Q158" s="80"/>
      <c r="R158" s="625" t="s">
        <v>581</v>
      </c>
      <c r="S158" s="608"/>
      <c r="T158" s="608"/>
      <c r="U158" s="608"/>
      <c r="V158" s="608"/>
      <c r="W158" s="608"/>
      <c r="X158" s="608"/>
      <c r="Y158" s="608"/>
      <c r="Z158" s="608"/>
      <c r="AA158" s="608"/>
      <c r="AB158" s="608"/>
      <c r="AC158" s="608"/>
      <c r="AD158" s="608"/>
      <c r="AE158" s="608"/>
      <c r="AF158" s="608"/>
      <c r="AG158" s="608"/>
      <c r="AH158" s="608"/>
      <c r="AI158" s="608"/>
      <c r="AJ158" s="608"/>
      <c r="AK158" s="608"/>
      <c r="AL158" s="608"/>
      <c r="AM158" s="608"/>
    </row>
    <row r="159" spans="1:39" ht="116.25" hidden="1" x14ac:dyDescent="0.25">
      <c r="A159" s="599">
        <f t="shared" si="6"/>
        <v>140</v>
      </c>
      <c r="B159" s="600" t="s">
        <v>171</v>
      </c>
      <c r="C159" s="601">
        <v>81100000</v>
      </c>
      <c r="D159" s="602" t="s">
        <v>60</v>
      </c>
      <c r="E159" s="600" t="s">
        <v>48</v>
      </c>
      <c r="F159" s="600">
        <v>1</v>
      </c>
      <c r="G159" s="603" t="s">
        <v>180</v>
      </c>
      <c r="H159" s="604">
        <v>12</v>
      </c>
      <c r="I159" s="600" t="s">
        <v>55</v>
      </c>
      <c r="J159" s="600" t="s">
        <v>35</v>
      </c>
      <c r="K159" s="600" t="s">
        <v>38</v>
      </c>
      <c r="L159" s="605">
        <v>6000000</v>
      </c>
      <c r="M159" s="606">
        <v>6000000</v>
      </c>
      <c r="N159" s="600" t="s">
        <v>51</v>
      </c>
      <c r="O159" s="600" t="s">
        <v>36</v>
      </c>
      <c r="P159" s="600" t="s">
        <v>535</v>
      </c>
      <c r="Q159" s="80"/>
      <c r="R159" s="625"/>
      <c r="S159" s="608"/>
      <c r="T159" s="608"/>
      <c r="U159" s="608"/>
      <c r="V159" s="608"/>
      <c r="W159" s="608"/>
      <c r="X159" s="608"/>
      <c r="Y159" s="608"/>
      <c r="Z159" s="608"/>
      <c r="AA159" s="608"/>
      <c r="AB159" s="608"/>
      <c r="AC159" s="608"/>
      <c r="AD159" s="608"/>
      <c r="AE159" s="608"/>
      <c r="AF159" s="608"/>
      <c r="AG159" s="608"/>
      <c r="AH159" s="608"/>
      <c r="AI159" s="608"/>
      <c r="AJ159" s="608"/>
      <c r="AK159" s="608"/>
      <c r="AL159" s="608"/>
      <c r="AM159" s="608"/>
    </row>
    <row r="160" spans="1:39" ht="116.25" hidden="1" x14ac:dyDescent="0.25">
      <c r="A160" s="599">
        <f t="shared" si="6"/>
        <v>141</v>
      </c>
      <c r="B160" s="600" t="s">
        <v>171</v>
      </c>
      <c r="C160" s="601" t="s">
        <v>537</v>
      </c>
      <c r="D160" s="602" t="s">
        <v>538</v>
      </c>
      <c r="E160" s="600" t="s">
        <v>48</v>
      </c>
      <c r="F160" s="600">
        <v>1</v>
      </c>
      <c r="G160" s="603" t="s">
        <v>80</v>
      </c>
      <c r="H160" s="604">
        <v>12</v>
      </c>
      <c r="I160" s="600" t="s">
        <v>55</v>
      </c>
      <c r="J160" s="600" t="s">
        <v>35</v>
      </c>
      <c r="K160" s="600" t="s">
        <v>441</v>
      </c>
      <c r="L160" s="605">
        <v>21000000</v>
      </c>
      <c r="M160" s="606">
        <v>21000000</v>
      </c>
      <c r="N160" s="600" t="s">
        <v>51</v>
      </c>
      <c r="O160" s="600" t="s">
        <v>36</v>
      </c>
      <c r="P160" s="600" t="s">
        <v>535</v>
      </c>
      <c r="Q160" s="80"/>
      <c r="R160" s="625"/>
      <c r="S160" s="608"/>
      <c r="T160" s="608"/>
      <c r="U160" s="608"/>
      <c r="V160" s="608"/>
      <c r="W160" s="608"/>
      <c r="X160" s="608"/>
      <c r="Y160" s="608"/>
      <c r="Z160" s="608"/>
      <c r="AA160" s="608"/>
      <c r="AB160" s="608"/>
      <c r="AC160" s="608"/>
      <c r="AD160" s="608"/>
      <c r="AE160" s="608"/>
      <c r="AF160" s="608"/>
      <c r="AG160" s="608"/>
      <c r="AH160" s="608"/>
      <c r="AI160" s="608"/>
      <c r="AJ160" s="608"/>
      <c r="AK160" s="608"/>
      <c r="AL160" s="608"/>
      <c r="AM160" s="608"/>
    </row>
    <row r="161" spans="1:39" ht="93" hidden="1" x14ac:dyDescent="0.25">
      <c r="A161" s="599">
        <f t="shared" si="6"/>
        <v>142</v>
      </c>
      <c r="B161" s="600" t="s">
        <v>492</v>
      </c>
      <c r="C161" s="601">
        <v>80101706</v>
      </c>
      <c r="D161" s="602" t="s">
        <v>539</v>
      </c>
      <c r="E161" s="600" t="s">
        <v>48</v>
      </c>
      <c r="F161" s="600">
        <v>1</v>
      </c>
      <c r="G161" s="603" t="s">
        <v>73</v>
      </c>
      <c r="H161" s="604">
        <v>5</v>
      </c>
      <c r="I161" s="600" t="s">
        <v>61</v>
      </c>
      <c r="J161" s="600" t="s">
        <v>66</v>
      </c>
      <c r="K161" s="600" t="s">
        <v>585</v>
      </c>
      <c r="L161" s="605">
        <v>26500000</v>
      </c>
      <c r="M161" s="606">
        <v>26500000</v>
      </c>
      <c r="N161" s="600" t="s">
        <v>51</v>
      </c>
      <c r="O161" s="600" t="s">
        <v>36</v>
      </c>
      <c r="P161" s="600" t="s">
        <v>308</v>
      </c>
      <c r="Q161" s="80"/>
      <c r="R161" s="625" t="s">
        <v>259</v>
      </c>
      <c r="S161" s="608"/>
      <c r="T161" s="608"/>
      <c r="U161" s="608"/>
      <c r="V161" s="608"/>
      <c r="W161" s="608"/>
      <c r="X161" s="608"/>
      <c r="Y161" s="608"/>
      <c r="Z161" s="608"/>
      <c r="AA161" s="608"/>
      <c r="AB161" s="608"/>
      <c r="AC161" s="608"/>
      <c r="AD161" s="608"/>
      <c r="AE161" s="608"/>
      <c r="AF161" s="608"/>
      <c r="AG161" s="608"/>
      <c r="AH161" s="608"/>
      <c r="AI161" s="608"/>
      <c r="AJ161" s="608"/>
      <c r="AK161" s="608"/>
      <c r="AL161" s="608"/>
      <c r="AM161" s="608"/>
    </row>
    <row r="162" spans="1:39" ht="93" hidden="1" x14ac:dyDescent="0.25">
      <c r="A162" s="599">
        <f t="shared" si="6"/>
        <v>143</v>
      </c>
      <c r="B162" s="600" t="s">
        <v>492</v>
      </c>
      <c r="C162" s="601">
        <v>80101706</v>
      </c>
      <c r="D162" s="602" t="s">
        <v>539</v>
      </c>
      <c r="E162" s="600" t="s">
        <v>48</v>
      </c>
      <c r="F162" s="600">
        <v>1</v>
      </c>
      <c r="G162" s="603" t="s">
        <v>73</v>
      </c>
      <c r="H162" s="604">
        <v>5</v>
      </c>
      <c r="I162" s="600" t="s">
        <v>61</v>
      </c>
      <c r="J162" s="600" t="s">
        <v>66</v>
      </c>
      <c r="K162" s="600" t="s">
        <v>585</v>
      </c>
      <c r="L162" s="605">
        <v>32550000</v>
      </c>
      <c r="M162" s="606">
        <v>32550000</v>
      </c>
      <c r="N162" s="600" t="s">
        <v>51</v>
      </c>
      <c r="O162" s="600" t="s">
        <v>36</v>
      </c>
      <c r="P162" s="600" t="s">
        <v>308</v>
      </c>
      <c r="Q162" s="80"/>
      <c r="R162" s="625" t="s">
        <v>262</v>
      </c>
      <c r="S162" s="608"/>
      <c r="T162" s="608"/>
      <c r="U162" s="608"/>
      <c r="V162" s="608"/>
      <c r="W162" s="608"/>
      <c r="X162" s="608"/>
      <c r="Y162" s="608"/>
      <c r="Z162" s="608"/>
      <c r="AA162" s="608"/>
      <c r="AB162" s="608"/>
      <c r="AC162" s="608"/>
      <c r="AD162" s="608"/>
      <c r="AE162" s="608"/>
      <c r="AF162" s="608"/>
      <c r="AG162" s="608"/>
      <c r="AH162" s="608"/>
      <c r="AI162" s="608"/>
      <c r="AJ162" s="608"/>
      <c r="AK162" s="608"/>
      <c r="AL162" s="608"/>
      <c r="AM162" s="608"/>
    </row>
    <row r="163" spans="1:39" ht="93" hidden="1" x14ac:dyDescent="0.25">
      <c r="A163" s="599">
        <f t="shared" si="6"/>
        <v>144</v>
      </c>
      <c r="B163" s="600" t="s">
        <v>492</v>
      </c>
      <c r="C163" s="601">
        <v>80101706</v>
      </c>
      <c r="D163" s="602" t="s">
        <v>539</v>
      </c>
      <c r="E163" s="600" t="s">
        <v>48</v>
      </c>
      <c r="F163" s="600">
        <v>1</v>
      </c>
      <c r="G163" s="603" t="s">
        <v>73</v>
      </c>
      <c r="H163" s="604">
        <v>5</v>
      </c>
      <c r="I163" s="600" t="s">
        <v>61</v>
      </c>
      <c r="J163" s="600" t="s">
        <v>66</v>
      </c>
      <c r="K163" s="600" t="s">
        <v>585</v>
      </c>
      <c r="L163" s="605">
        <v>32550000</v>
      </c>
      <c r="M163" s="606">
        <v>32550000</v>
      </c>
      <c r="N163" s="600" t="s">
        <v>51</v>
      </c>
      <c r="O163" s="600" t="s">
        <v>36</v>
      </c>
      <c r="P163" s="600" t="s">
        <v>308</v>
      </c>
      <c r="Q163" s="80"/>
      <c r="R163" s="625" t="s">
        <v>574</v>
      </c>
      <c r="S163" s="608"/>
      <c r="T163" s="608"/>
      <c r="U163" s="608"/>
      <c r="V163" s="608"/>
      <c r="W163" s="608"/>
      <c r="X163" s="608"/>
      <c r="Y163" s="608"/>
      <c r="Z163" s="608"/>
      <c r="AA163" s="608"/>
      <c r="AB163" s="608"/>
      <c r="AC163" s="608"/>
      <c r="AD163" s="608"/>
      <c r="AE163" s="608"/>
      <c r="AF163" s="608"/>
      <c r="AG163" s="608"/>
      <c r="AH163" s="608"/>
      <c r="AI163" s="608"/>
      <c r="AJ163" s="608"/>
      <c r="AK163" s="608"/>
      <c r="AL163" s="608"/>
      <c r="AM163" s="608"/>
    </row>
    <row r="164" spans="1:39" ht="93" hidden="1" x14ac:dyDescent="0.25">
      <c r="A164" s="599">
        <f t="shared" si="6"/>
        <v>145</v>
      </c>
      <c r="B164" s="600" t="s">
        <v>492</v>
      </c>
      <c r="C164" s="601">
        <v>80101706</v>
      </c>
      <c r="D164" s="602" t="s">
        <v>539</v>
      </c>
      <c r="E164" s="600" t="s">
        <v>48</v>
      </c>
      <c r="F164" s="600">
        <v>1</v>
      </c>
      <c r="G164" s="603" t="s">
        <v>73</v>
      </c>
      <c r="H164" s="604">
        <v>5</v>
      </c>
      <c r="I164" s="600" t="s">
        <v>61</v>
      </c>
      <c r="J164" s="600" t="s">
        <v>66</v>
      </c>
      <c r="K164" s="600" t="s">
        <v>585</v>
      </c>
      <c r="L164" s="605">
        <v>21200000</v>
      </c>
      <c r="M164" s="606">
        <v>21200000</v>
      </c>
      <c r="N164" s="600" t="s">
        <v>51</v>
      </c>
      <c r="O164" s="600" t="s">
        <v>36</v>
      </c>
      <c r="P164" s="600" t="s">
        <v>308</v>
      </c>
      <c r="Q164" s="80"/>
      <c r="R164" s="625" t="s">
        <v>575</v>
      </c>
      <c r="S164" s="608"/>
      <c r="T164" s="608"/>
      <c r="U164" s="608"/>
      <c r="V164" s="608"/>
      <c r="W164" s="608"/>
      <c r="X164" s="608"/>
      <c r="Y164" s="608"/>
      <c r="Z164" s="608"/>
      <c r="AA164" s="608"/>
      <c r="AB164" s="608"/>
      <c r="AC164" s="608"/>
      <c r="AD164" s="608"/>
      <c r="AE164" s="608"/>
      <c r="AF164" s="608"/>
      <c r="AG164" s="608"/>
      <c r="AH164" s="608"/>
      <c r="AI164" s="608"/>
      <c r="AJ164" s="608"/>
      <c r="AK164" s="608"/>
      <c r="AL164" s="608"/>
      <c r="AM164" s="608"/>
    </row>
    <row r="165" spans="1:39" ht="93" hidden="1" x14ac:dyDescent="0.25">
      <c r="A165" s="599">
        <f t="shared" si="6"/>
        <v>146</v>
      </c>
      <c r="B165" s="600" t="s">
        <v>492</v>
      </c>
      <c r="C165" s="601">
        <v>80101706</v>
      </c>
      <c r="D165" s="602" t="s">
        <v>539</v>
      </c>
      <c r="E165" s="600" t="s">
        <v>48</v>
      </c>
      <c r="F165" s="600">
        <v>1</v>
      </c>
      <c r="G165" s="603" t="s">
        <v>73</v>
      </c>
      <c r="H165" s="604">
        <v>5</v>
      </c>
      <c r="I165" s="600" t="s">
        <v>61</v>
      </c>
      <c r="J165" s="600" t="s">
        <v>66</v>
      </c>
      <c r="K165" s="600" t="s">
        <v>585</v>
      </c>
      <c r="L165" s="605">
        <v>21200000</v>
      </c>
      <c r="M165" s="606">
        <v>21200000</v>
      </c>
      <c r="N165" s="600" t="s">
        <v>51</v>
      </c>
      <c r="O165" s="600" t="s">
        <v>36</v>
      </c>
      <c r="P165" s="600" t="s">
        <v>308</v>
      </c>
      <c r="Q165" s="80"/>
      <c r="R165" s="625" t="s">
        <v>236</v>
      </c>
      <c r="S165" s="608"/>
      <c r="T165" s="608"/>
      <c r="U165" s="608"/>
      <c r="V165" s="608"/>
      <c r="W165" s="608"/>
      <c r="X165" s="608"/>
      <c r="Y165" s="608"/>
      <c r="Z165" s="608"/>
      <c r="AA165" s="608"/>
      <c r="AB165" s="608"/>
      <c r="AC165" s="608"/>
      <c r="AD165" s="608"/>
      <c r="AE165" s="608"/>
      <c r="AF165" s="608"/>
      <c r="AG165" s="608"/>
      <c r="AH165" s="608"/>
      <c r="AI165" s="608"/>
      <c r="AJ165" s="608"/>
      <c r="AK165" s="608"/>
      <c r="AL165" s="608"/>
      <c r="AM165" s="608"/>
    </row>
    <row r="166" spans="1:39" ht="93" hidden="1" x14ac:dyDescent="0.25">
      <c r="A166" s="599">
        <f t="shared" si="6"/>
        <v>147</v>
      </c>
      <c r="B166" s="600" t="s">
        <v>492</v>
      </c>
      <c r="C166" s="601">
        <v>80101706</v>
      </c>
      <c r="D166" s="602" t="s">
        <v>539</v>
      </c>
      <c r="E166" s="600" t="s">
        <v>48</v>
      </c>
      <c r="F166" s="600">
        <v>1</v>
      </c>
      <c r="G166" s="603" t="s">
        <v>73</v>
      </c>
      <c r="H166" s="604">
        <v>5</v>
      </c>
      <c r="I166" s="600" t="s">
        <v>61</v>
      </c>
      <c r="J166" s="600" t="s">
        <v>66</v>
      </c>
      <c r="K166" s="600" t="s">
        <v>585</v>
      </c>
      <c r="L166" s="605">
        <v>35000000</v>
      </c>
      <c r="M166" s="606">
        <v>35000000</v>
      </c>
      <c r="N166" s="600" t="s">
        <v>51</v>
      </c>
      <c r="O166" s="600" t="s">
        <v>36</v>
      </c>
      <c r="P166" s="600" t="s">
        <v>308</v>
      </c>
      <c r="Q166" s="80"/>
      <c r="R166" s="625" t="s">
        <v>576</v>
      </c>
      <c r="S166" s="608"/>
      <c r="T166" s="608"/>
      <c r="U166" s="608"/>
      <c r="V166" s="608"/>
      <c r="W166" s="608"/>
      <c r="X166" s="608"/>
      <c r="Y166" s="608"/>
      <c r="Z166" s="608"/>
      <c r="AA166" s="608"/>
      <c r="AB166" s="608"/>
      <c r="AC166" s="608"/>
      <c r="AD166" s="608"/>
      <c r="AE166" s="608"/>
      <c r="AF166" s="608"/>
      <c r="AG166" s="608"/>
      <c r="AH166" s="608"/>
      <c r="AI166" s="608"/>
      <c r="AJ166" s="608"/>
      <c r="AK166" s="608"/>
      <c r="AL166" s="608"/>
      <c r="AM166" s="608"/>
    </row>
    <row r="167" spans="1:39" ht="93" hidden="1" x14ac:dyDescent="0.25">
      <c r="A167" s="599">
        <f t="shared" si="6"/>
        <v>148</v>
      </c>
      <c r="B167" s="600" t="s">
        <v>492</v>
      </c>
      <c r="C167" s="601">
        <v>80101706</v>
      </c>
      <c r="D167" s="602" t="s">
        <v>539</v>
      </c>
      <c r="E167" s="600" t="s">
        <v>48</v>
      </c>
      <c r="F167" s="600">
        <v>1</v>
      </c>
      <c r="G167" s="603" t="s">
        <v>73</v>
      </c>
      <c r="H167" s="604">
        <v>5</v>
      </c>
      <c r="I167" s="600" t="s">
        <v>61</v>
      </c>
      <c r="J167" s="600" t="s">
        <v>66</v>
      </c>
      <c r="K167" s="600" t="s">
        <v>585</v>
      </c>
      <c r="L167" s="605">
        <v>32550000</v>
      </c>
      <c r="M167" s="606">
        <v>32550000</v>
      </c>
      <c r="N167" s="600" t="s">
        <v>51</v>
      </c>
      <c r="O167" s="600" t="s">
        <v>36</v>
      </c>
      <c r="P167" s="600" t="s">
        <v>308</v>
      </c>
      <c r="Q167" s="80"/>
      <c r="R167" s="625" t="s">
        <v>243</v>
      </c>
      <c r="S167" s="608"/>
      <c r="T167" s="608"/>
      <c r="U167" s="608"/>
      <c r="V167" s="608"/>
      <c r="W167" s="608"/>
      <c r="X167" s="608"/>
      <c r="Y167" s="608"/>
      <c r="Z167" s="608"/>
      <c r="AA167" s="608"/>
      <c r="AB167" s="608"/>
      <c r="AC167" s="608"/>
      <c r="AD167" s="608"/>
      <c r="AE167" s="608"/>
      <c r="AF167" s="608"/>
      <c r="AG167" s="608"/>
      <c r="AH167" s="608"/>
      <c r="AI167" s="608"/>
      <c r="AJ167" s="608"/>
      <c r="AK167" s="608"/>
      <c r="AL167" s="608"/>
      <c r="AM167" s="608"/>
    </row>
    <row r="168" spans="1:39" ht="93" hidden="1" x14ac:dyDescent="0.25">
      <c r="A168" s="599">
        <f t="shared" si="6"/>
        <v>149</v>
      </c>
      <c r="B168" s="600" t="s">
        <v>492</v>
      </c>
      <c r="C168" s="601">
        <v>80101706</v>
      </c>
      <c r="D168" s="602" t="s">
        <v>539</v>
      </c>
      <c r="E168" s="600" t="s">
        <v>48</v>
      </c>
      <c r="F168" s="600">
        <v>1</v>
      </c>
      <c r="G168" s="603" t="s">
        <v>73</v>
      </c>
      <c r="H168" s="604">
        <v>5</v>
      </c>
      <c r="I168" s="600" t="s">
        <v>61</v>
      </c>
      <c r="J168" s="600" t="s">
        <v>66</v>
      </c>
      <c r="K168" s="600" t="s">
        <v>585</v>
      </c>
      <c r="L168" s="605">
        <v>32550000</v>
      </c>
      <c r="M168" s="606">
        <v>32550000</v>
      </c>
      <c r="N168" s="600" t="s">
        <v>51</v>
      </c>
      <c r="O168" s="600" t="s">
        <v>36</v>
      </c>
      <c r="P168" s="600" t="s">
        <v>308</v>
      </c>
      <c r="Q168" s="80"/>
      <c r="R168" s="625" t="s">
        <v>577</v>
      </c>
      <c r="S168" s="608"/>
      <c r="T168" s="608"/>
      <c r="U168" s="608"/>
      <c r="V168" s="608"/>
      <c r="W168" s="608"/>
      <c r="X168" s="608"/>
      <c r="Y168" s="608"/>
      <c r="Z168" s="608"/>
      <c r="AA168" s="608"/>
      <c r="AB168" s="608"/>
      <c r="AC168" s="608"/>
      <c r="AD168" s="608"/>
      <c r="AE168" s="608"/>
      <c r="AF168" s="608"/>
      <c r="AG168" s="608"/>
      <c r="AH168" s="608"/>
      <c r="AI168" s="608"/>
      <c r="AJ168" s="608"/>
      <c r="AK168" s="608"/>
      <c r="AL168" s="608"/>
      <c r="AM168" s="608"/>
    </row>
    <row r="169" spans="1:39" ht="93" hidden="1" x14ac:dyDescent="0.25">
      <c r="A169" s="599">
        <f t="shared" si="6"/>
        <v>150</v>
      </c>
      <c r="B169" s="600" t="s">
        <v>492</v>
      </c>
      <c r="C169" s="601">
        <v>80101706</v>
      </c>
      <c r="D169" s="602" t="s">
        <v>539</v>
      </c>
      <c r="E169" s="600" t="s">
        <v>48</v>
      </c>
      <c r="F169" s="600">
        <v>1</v>
      </c>
      <c r="G169" s="603" t="s">
        <v>73</v>
      </c>
      <c r="H169" s="604">
        <v>5</v>
      </c>
      <c r="I169" s="600" t="s">
        <v>61</v>
      </c>
      <c r="J169" s="600" t="s">
        <v>66</v>
      </c>
      <c r="K169" s="600" t="s">
        <v>585</v>
      </c>
      <c r="L169" s="605">
        <v>32550000</v>
      </c>
      <c r="M169" s="606">
        <v>32550000</v>
      </c>
      <c r="N169" s="600" t="s">
        <v>51</v>
      </c>
      <c r="O169" s="600" t="s">
        <v>36</v>
      </c>
      <c r="P169" s="600" t="s">
        <v>308</v>
      </c>
      <c r="Q169" s="80"/>
      <c r="R169" s="625" t="s">
        <v>578</v>
      </c>
      <c r="S169" s="608"/>
      <c r="T169" s="608"/>
      <c r="U169" s="608"/>
      <c r="V169" s="608"/>
      <c r="W169" s="608"/>
      <c r="X169" s="608"/>
      <c r="Y169" s="608"/>
      <c r="Z169" s="608"/>
      <c r="AA169" s="608"/>
      <c r="AB169" s="608"/>
      <c r="AC169" s="608"/>
      <c r="AD169" s="608"/>
      <c r="AE169" s="608"/>
      <c r="AF169" s="608"/>
      <c r="AG169" s="608"/>
      <c r="AH169" s="608"/>
      <c r="AI169" s="608"/>
      <c r="AJ169" s="608"/>
      <c r="AK169" s="608"/>
      <c r="AL169" s="608"/>
      <c r="AM169" s="608"/>
    </row>
    <row r="170" spans="1:39" ht="93" hidden="1" x14ac:dyDescent="0.25">
      <c r="A170" s="599">
        <f t="shared" si="6"/>
        <v>151</v>
      </c>
      <c r="B170" s="600" t="s">
        <v>235</v>
      </c>
      <c r="C170" s="601">
        <v>80101706</v>
      </c>
      <c r="D170" s="602" t="s">
        <v>543</v>
      </c>
      <c r="E170" s="600" t="s">
        <v>48</v>
      </c>
      <c r="F170" s="600">
        <v>1</v>
      </c>
      <c r="G170" s="603" t="s">
        <v>73</v>
      </c>
      <c r="H170" s="604">
        <v>5</v>
      </c>
      <c r="I170" s="600" t="s">
        <v>61</v>
      </c>
      <c r="J170" s="600" t="s">
        <v>66</v>
      </c>
      <c r="K170" s="600" t="s">
        <v>475</v>
      </c>
      <c r="L170" s="605">
        <v>18020000</v>
      </c>
      <c r="M170" s="606">
        <v>18020000</v>
      </c>
      <c r="N170" s="600" t="s">
        <v>51</v>
      </c>
      <c r="O170" s="600" t="s">
        <v>36</v>
      </c>
      <c r="P170" s="600" t="s">
        <v>501</v>
      </c>
      <c r="Q170" s="80"/>
      <c r="R170" s="625" t="s">
        <v>307</v>
      </c>
      <c r="S170" s="608"/>
      <c r="T170" s="608"/>
      <c r="U170" s="608"/>
      <c r="V170" s="608"/>
      <c r="W170" s="608"/>
      <c r="X170" s="608"/>
      <c r="Y170" s="608"/>
      <c r="Z170" s="608"/>
      <c r="AA170" s="608"/>
      <c r="AB170" s="608"/>
      <c r="AC170" s="608"/>
      <c r="AD170" s="608"/>
      <c r="AE170" s="608"/>
      <c r="AF170" s="608"/>
      <c r="AG170" s="608"/>
      <c r="AH170" s="608"/>
      <c r="AI170" s="608"/>
      <c r="AJ170" s="608"/>
      <c r="AK170" s="608"/>
      <c r="AL170" s="608"/>
      <c r="AM170" s="608"/>
    </row>
    <row r="171" spans="1:39" ht="93" hidden="1" x14ac:dyDescent="0.25">
      <c r="A171" s="599">
        <f t="shared" si="6"/>
        <v>152</v>
      </c>
      <c r="B171" s="600" t="s">
        <v>235</v>
      </c>
      <c r="C171" s="601">
        <v>80101706</v>
      </c>
      <c r="D171" s="602" t="s">
        <v>543</v>
      </c>
      <c r="E171" s="600" t="s">
        <v>48</v>
      </c>
      <c r="F171" s="600">
        <v>1</v>
      </c>
      <c r="G171" s="603" t="s">
        <v>73</v>
      </c>
      <c r="H171" s="604">
        <v>5</v>
      </c>
      <c r="I171" s="600" t="s">
        <v>61</v>
      </c>
      <c r="J171" s="600" t="s">
        <v>66</v>
      </c>
      <c r="K171" s="600" t="s">
        <v>475</v>
      </c>
      <c r="L171" s="605">
        <v>27560000</v>
      </c>
      <c r="M171" s="606">
        <v>27560000</v>
      </c>
      <c r="N171" s="600" t="s">
        <v>51</v>
      </c>
      <c r="O171" s="600" t="s">
        <v>36</v>
      </c>
      <c r="P171" s="600" t="s">
        <v>501</v>
      </c>
      <c r="Q171" s="80"/>
      <c r="R171" s="625" t="s">
        <v>582</v>
      </c>
      <c r="S171" s="608"/>
      <c r="T171" s="608"/>
      <c r="U171" s="608"/>
      <c r="V171" s="608"/>
      <c r="W171" s="608"/>
      <c r="X171" s="608"/>
      <c r="Y171" s="608"/>
      <c r="Z171" s="608"/>
      <c r="AA171" s="608"/>
      <c r="AB171" s="608"/>
      <c r="AC171" s="608"/>
      <c r="AD171" s="608"/>
      <c r="AE171" s="608"/>
      <c r="AF171" s="608"/>
      <c r="AG171" s="608"/>
      <c r="AH171" s="608"/>
      <c r="AI171" s="608"/>
      <c r="AJ171" s="608"/>
      <c r="AK171" s="608"/>
      <c r="AL171" s="608"/>
      <c r="AM171" s="608"/>
    </row>
    <row r="172" spans="1:39" ht="93" hidden="1" x14ac:dyDescent="0.25">
      <c r="A172" s="599">
        <f t="shared" si="6"/>
        <v>153</v>
      </c>
      <c r="B172" s="600" t="s">
        <v>235</v>
      </c>
      <c r="C172" s="601">
        <v>80101706</v>
      </c>
      <c r="D172" s="602" t="s">
        <v>543</v>
      </c>
      <c r="E172" s="600" t="s">
        <v>48</v>
      </c>
      <c r="F172" s="600">
        <v>1</v>
      </c>
      <c r="G172" s="603" t="s">
        <v>73</v>
      </c>
      <c r="H172" s="604">
        <v>5</v>
      </c>
      <c r="I172" s="600" t="s">
        <v>61</v>
      </c>
      <c r="J172" s="600" t="s">
        <v>66</v>
      </c>
      <c r="K172" s="600" t="s">
        <v>475</v>
      </c>
      <c r="L172" s="605">
        <v>25040000</v>
      </c>
      <c r="M172" s="606">
        <v>25040000</v>
      </c>
      <c r="N172" s="600" t="s">
        <v>51</v>
      </c>
      <c r="O172" s="600" t="s">
        <v>36</v>
      </c>
      <c r="P172" s="600" t="s">
        <v>501</v>
      </c>
      <c r="Q172" s="80"/>
      <c r="R172" s="625" t="s">
        <v>245</v>
      </c>
      <c r="S172" s="608"/>
      <c r="T172" s="608"/>
      <c r="U172" s="608"/>
      <c r="V172" s="608"/>
      <c r="W172" s="608"/>
      <c r="X172" s="608"/>
      <c r="Y172" s="608"/>
      <c r="Z172" s="608"/>
      <c r="AA172" s="608"/>
      <c r="AB172" s="608"/>
      <c r="AC172" s="608"/>
      <c r="AD172" s="608"/>
      <c r="AE172" s="608"/>
      <c r="AF172" s="608"/>
      <c r="AG172" s="608"/>
      <c r="AH172" s="608"/>
      <c r="AI172" s="608"/>
      <c r="AJ172" s="608"/>
      <c r="AK172" s="608"/>
      <c r="AL172" s="608"/>
      <c r="AM172" s="608"/>
    </row>
    <row r="173" spans="1:39" ht="93" hidden="1" x14ac:dyDescent="0.25">
      <c r="A173" s="599">
        <f t="shared" si="6"/>
        <v>154</v>
      </c>
      <c r="B173" s="600" t="s">
        <v>235</v>
      </c>
      <c r="C173" s="601">
        <v>80101706</v>
      </c>
      <c r="D173" s="602" t="s">
        <v>543</v>
      </c>
      <c r="E173" s="600" t="s">
        <v>48</v>
      </c>
      <c r="F173" s="600">
        <v>1</v>
      </c>
      <c r="G173" s="603" t="s">
        <v>73</v>
      </c>
      <c r="H173" s="604">
        <v>5</v>
      </c>
      <c r="I173" s="600" t="s">
        <v>61</v>
      </c>
      <c r="J173" s="600" t="s">
        <v>66</v>
      </c>
      <c r="K173" s="600" t="s">
        <v>475</v>
      </c>
      <c r="L173" s="605">
        <v>25040000</v>
      </c>
      <c r="M173" s="606">
        <v>25040000</v>
      </c>
      <c r="N173" s="600" t="s">
        <v>51</v>
      </c>
      <c r="O173" s="600" t="s">
        <v>36</v>
      </c>
      <c r="P173" s="600" t="s">
        <v>501</v>
      </c>
      <c r="Q173" s="80"/>
      <c r="R173" s="625" t="s">
        <v>249</v>
      </c>
      <c r="S173" s="608"/>
      <c r="T173" s="608"/>
      <c r="U173" s="608"/>
      <c r="V173" s="608"/>
      <c r="W173" s="608"/>
      <c r="X173" s="608"/>
      <c r="Y173" s="608"/>
      <c r="Z173" s="608"/>
      <c r="AA173" s="608"/>
      <c r="AB173" s="608"/>
      <c r="AC173" s="608"/>
      <c r="AD173" s="608"/>
      <c r="AE173" s="608"/>
      <c r="AF173" s="608"/>
      <c r="AG173" s="608"/>
      <c r="AH173" s="608"/>
      <c r="AI173" s="608"/>
      <c r="AJ173" s="608"/>
      <c r="AK173" s="608"/>
      <c r="AL173" s="608"/>
      <c r="AM173" s="608"/>
    </row>
    <row r="174" spans="1:39" ht="93" hidden="1" x14ac:dyDescent="0.25">
      <c r="A174" s="599">
        <f t="shared" si="6"/>
        <v>155</v>
      </c>
      <c r="B174" s="600" t="s">
        <v>235</v>
      </c>
      <c r="C174" s="601">
        <v>80101706</v>
      </c>
      <c r="D174" s="602" t="s">
        <v>543</v>
      </c>
      <c r="E174" s="600" t="s">
        <v>48</v>
      </c>
      <c r="F174" s="600">
        <v>1</v>
      </c>
      <c r="G174" s="603" t="s">
        <v>73</v>
      </c>
      <c r="H174" s="604">
        <v>5</v>
      </c>
      <c r="I174" s="600" t="s">
        <v>61</v>
      </c>
      <c r="J174" s="600" t="s">
        <v>66</v>
      </c>
      <c r="K174" s="600" t="s">
        <v>475</v>
      </c>
      <c r="L174" s="605">
        <v>38765000</v>
      </c>
      <c r="M174" s="606">
        <v>38765000</v>
      </c>
      <c r="N174" s="600" t="s">
        <v>51</v>
      </c>
      <c r="O174" s="600" t="s">
        <v>36</v>
      </c>
      <c r="P174" s="600" t="s">
        <v>501</v>
      </c>
      <c r="Q174" s="80"/>
      <c r="R174" s="625" t="s">
        <v>257</v>
      </c>
      <c r="S174" s="608"/>
      <c r="T174" s="608"/>
      <c r="U174" s="608"/>
      <c r="V174" s="608"/>
      <c r="W174" s="608"/>
      <c r="X174" s="608"/>
      <c r="Y174" s="608"/>
      <c r="Z174" s="608"/>
      <c r="AA174" s="608"/>
      <c r="AB174" s="608"/>
      <c r="AC174" s="608"/>
      <c r="AD174" s="608"/>
      <c r="AE174" s="608"/>
      <c r="AF174" s="608"/>
      <c r="AG174" s="608"/>
      <c r="AH174" s="608"/>
      <c r="AI174" s="608"/>
      <c r="AJ174" s="608"/>
      <c r="AK174" s="608"/>
      <c r="AL174" s="608"/>
      <c r="AM174" s="608"/>
    </row>
    <row r="175" spans="1:39" ht="93" hidden="1" x14ac:dyDescent="0.25">
      <c r="A175" s="599">
        <f t="shared" si="6"/>
        <v>156</v>
      </c>
      <c r="B175" s="600" t="s">
        <v>474</v>
      </c>
      <c r="C175" s="601">
        <v>80101706</v>
      </c>
      <c r="D175" s="627" t="s">
        <v>278</v>
      </c>
      <c r="E175" s="600" t="s">
        <v>48</v>
      </c>
      <c r="F175" s="600">
        <v>1</v>
      </c>
      <c r="G175" s="603" t="s">
        <v>80</v>
      </c>
      <c r="H175" s="604" t="s">
        <v>256</v>
      </c>
      <c r="I175" s="600" t="s">
        <v>226</v>
      </c>
      <c r="J175" s="600" t="s">
        <v>66</v>
      </c>
      <c r="K175" s="600" t="s">
        <v>475</v>
      </c>
      <c r="L175" s="605">
        <v>300000000</v>
      </c>
      <c r="M175" s="606">
        <v>300000000</v>
      </c>
      <c r="N175" s="600" t="s">
        <v>51</v>
      </c>
      <c r="O175" s="600" t="s">
        <v>36</v>
      </c>
      <c r="P175" s="600" t="s">
        <v>320</v>
      </c>
      <c r="Q175" s="80"/>
      <c r="R175" s="623"/>
      <c r="S175" s="608"/>
      <c r="T175" s="608"/>
      <c r="U175" s="608"/>
      <c r="V175" s="608"/>
      <c r="W175" s="608"/>
      <c r="X175" s="608"/>
      <c r="Y175" s="608"/>
      <c r="Z175" s="608"/>
      <c r="AA175" s="608"/>
      <c r="AB175" s="608"/>
      <c r="AC175" s="608"/>
      <c r="AD175" s="608"/>
      <c r="AE175" s="608"/>
      <c r="AF175" s="608"/>
      <c r="AG175" s="608"/>
      <c r="AH175" s="608"/>
      <c r="AI175" s="608"/>
      <c r="AJ175" s="608"/>
      <c r="AK175" s="608"/>
      <c r="AL175" s="608"/>
      <c r="AM175" s="608"/>
    </row>
    <row r="176" spans="1:39" ht="93" hidden="1" x14ac:dyDescent="0.25">
      <c r="A176" s="599">
        <f t="shared" si="6"/>
        <v>157</v>
      </c>
      <c r="B176" s="600" t="s">
        <v>492</v>
      </c>
      <c r="C176" s="601">
        <v>81112501</v>
      </c>
      <c r="D176" s="627" t="s">
        <v>494</v>
      </c>
      <c r="E176" s="600" t="s">
        <v>68</v>
      </c>
      <c r="F176" s="600">
        <v>1</v>
      </c>
      <c r="G176" s="603" t="s">
        <v>78</v>
      </c>
      <c r="H176" s="604" t="s">
        <v>294</v>
      </c>
      <c r="I176" s="600" t="s">
        <v>61</v>
      </c>
      <c r="J176" s="600" t="s">
        <v>66</v>
      </c>
      <c r="K176" s="600" t="s">
        <v>475</v>
      </c>
      <c r="L176" s="605">
        <v>250000000</v>
      </c>
      <c r="M176" s="606">
        <v>250000000</v>
      </c>
      <c r="N176" s="600" t="s">
        <v>51</v>
      </c>
      <c r="O176" s="600" t="s">
        <v>36</v>
      </c>
      <c r="P176" s="600" t="s">
        <v>308</v>
      </c>
      <c r="Q176" s="80"/>
      <c r="R176" s="623"/>
      <c r="S176" s="608"/>
      <c r="T176" s="608"/>
      <c r="U176" s="608"/>
      <c r="V176" s="608"/>
      <c r="W176" s="608"/>
      <c r="X176" s="608"/>
      <c r="Y176" s="608"/>
      <c r="Z176" s="608"/>
      <c r="AA176" s="608"/>
      <c r="AB176" s="608"/>
      <c r="AC176" s="608"/>
      <c r="AD176" s="608"/>
      <c r="AE176" s="608"/>
      <c r="AF176" s="608"/>
      <c r="AG176" s="608"/>
      <c r="AH176" s="608"/>
      <c r="AI176" s="608"/>
      <c r="AJ176" s="608"/>
      <c r="AK176" s="608"/>
      <c r="AL176" s="608"/>
      <c r="AM176" s="608"/>
    </row>
    <row r="177" spans="1:39" ht="116.25" x14ac:dyDescent="0.25">
      <c r="A177" s="599">
        <f t="shared" si="6"/>
        <v>158</v>
      </c>
      <c r="B177" s="600" t="s">
        <v>235</v>
      </c>
      <c r="C177" s="601">
        <v>80101706</v>
      </c>
      <c r="D177" s="602" t="s">
        <v>543</v>
      </c>
      <c r="E177" s="600" t="s">
        <v>48</v>
      </c>
      <c r="F177" s="600">
        <v>1</v>
      </c>
      <c r="G177" s="603" t="s">
        <v>73</v>
      </c>
      <c r="H177" s="604">
        <v>5</v>
      </c>
      <c r="I177" s="600" t="s">
        <v>61</v>
      </c>
      <c r="J177" s="600" t="s">
        <v>66</v>
      </c>
      <c r="K177" s="600" t="s">
        <v>495</v>
      </c>
      <c r="L177" s="605">
        <v>28500000</v>
      </c>
      <c r="M177" s="606">
        <v>28500000</v>
      </c>
      <c r="N177" s="600" t="s">
        <v>51</v>
      </c>
      <c r="O177" s="600" t="s">
        <v>36</v>
      </c>
      <c r="P177" s="600" t="s">
        <v>501</v>
      </c>
      <c r="Q177" s="80"/>
      <c r="R177" s="625" t="s">
        <v>290</v>
      </c>
      <c r="S177" s="608"/>
      <c r="T177" s="608"/>
      <c r="U177" s="608"/>
      <c r="V177" s="608"/>
      <c r="W177" s="608"/>
      <c r="X177" s="608"/>
      <c r="Y177" s="608"/>
      <c r="Z177" s="608"/>
      <c r="AA177" s="608"/>
      <c r="AB177" s="608"/>
      <c r="AC177" s="608"/>
      <c r="AD177" s="608"/>
      <c r="AE177" s="608"/>
      <c r="AF177" s="608"/>
      <c r="AG177" s="608"/>
      <c r="AH177" s="608"/>
      <c r="AI177" s="608"/>
      <c r="AJ177" s="608"/>
      <c r="AK177" s="608"/>
      <c r="AL177" s="608"/>
      <c r="AM177" s="608"/>
    </row>
    <row r="178" spans="1:39" ht="93" hidden="1" x14ac:dyDescent="0.25">
      <c r="A178" s="599">
        <f t="shared" si="6"/>
        <v>159</v>
      </c>
      <c r="B178" s="600" t="s">
        <v>235</v>
      </c>
      <c r="C178" s="601">
        <v>80101706</v>
      </c>
      <c r="D178" s="627" t="s">
        <v>500</v>
      </c>
      <c r="E178" s="600" t="s">
        <v>59</v>
      </c>
      <c r="F178" s="600">
        <v>1</v>
      </c>
      <c r="G178" s="603" t="s">
        <v>74</v>
      </c>
      <c r="H178" s="604" t="s">
        <v>156</v>
      </c>
      <c r="I178" s="600" t="s">
        <v>61</v>
      </c>
      <c r="J178" s="600" t="s">
        <v>66</v>
      </c>
      <c r="K178" s="600" t="s">
        <v>475</v>
      </c>
      <c r="L178" s="605">
        <v>30000000</v>
      </c>
      <c r="M178" s="606">
        <v>30000000</v>
      </c>
      <c r="N178" s="600" t="s">
        <v>51</v>
      </c>
      <c r="O178" s="600" t="s">
        <v>36</v>
      </c>
      <c r="P178" s="600" t="s">
        <v>501</v>
      </c>
      <c r="Q178" s="80"/>
      <c r="R178" s="623"/>
      <c r="S178" s="608"/>
      <c r="T178" s="608"/>
      <c r="U178" s="608"/>
      <c r="V178" s="608"/>
      <c r="W178" s="608"/>
      <c r="X178" s="608"/>
      <c r="Y178" s="608"/>
      <c r="Z178" s="608"/>
      <c r="AA178" s="608"/>
      <c r="AB178" s="608"/>
      <c r="AC178" s="608"/>
      <c r="AD178" s="608"/>
      <c r="AE178" s="608"/>
      <c r="AF178" s="608"/>
      <c r="AG178" s="608"/>
      <c r="AH178" s="608"/>
      <c r="AI178" s="608"/>
      <c r="AJ178" s="608"/>
      <c r="AK178" s="608"/>
      <c r="AL178" s="608"/>
      <c r="AM178" s="608"/>
    </row>
    <row r="179" spans="1:39" ht="93" hidden="1" x14ac:dyDescent="0.25">
      <c r="A179" s="599">
        <f t="shared" si="6"/>
        <v>160</v>
      </c>
      <c r="B179" s="600" t="s">
        <v>247</v>
      </c>
      <c r="C179" s="601">
        <v>80101706</v>
      </c>
      <c r="D179" s="602" t="s">
        <v>544</v>
      </c>
      <c r="E179" s="600" t="s">
        <v>48</v>
      </c>
      <c r="F179" s="600">
        <v>1</v>
      </c>
      <c r="G179" s="603" t="s">
        <v>73</v>
      </c>
      <c r="H179" s="604">
        <v>8</v>
      </c>
      <c r="I179" s="600" t="s">
        <v>61</v>
      </c>
      <c r="J179" s="600" t="s">
        <v>35</v>
      </c>
      <c r="K179" s="600" t="s">
        <v>441</v>
      </c>
      <c r="L179" s="605">
        <v>14400000</v>
      </c>
      <c r="M179" s="606">
        <v>14400000</v>
      </c>
      <c r="N179" s="600" t="s">
        <v>51</v>
      </c>
      <c r="O179" s="600" t="s">
        <v>36</v>
      </c>
      <c r="P179" s="600" t="s">
        <v>513</v>
      </c>
      <c r="Q179" s="80"/>
      <c r="R179" s="625" t="s">
        <v>583</v>
      </c>
      <c r="S179" s="608"/>
      <c r="T179" s="608"/>
      <c r="U179" s="608"/>
      <c r="V179" s="608"/>
      <c r="W179" s="608"/>
      <c r="X179" s="608"/>
      <c r="Y179" s="608"/>
      <c r="Z179" s="608"/>
      <c r="AA179" s="608"/>
      <c r="AB179" s="608"/>
      <c r="AC179" s="608"/>
      <c r="AD179" s="608"/>
      <c r="AE179" s="608"/>
      <c r="AF179" s="608"/>
      <c r="AG179" s="608"/>
      <c r="AH179" s="608"/>
      <c r="AI179" s="608"/>
      <c r="AJ179" s="608"/>
      <c r="AK179" s="608"/>
      <c r="AL179" s="608"/>
      <c r="AM179" s="608"/>
    </row>
    <row r="180" spans="1:39" ht="93" hidden="1" x14ac:dyDescent="0.25">
      <c r="A180" s="599">
        <f t="shared" si="6"/>
        <v>161</v>
      </c>
      <c r="B180" s="600" t="s">
        <v>267</v>
      </c>
      <c r="C180" s="601">
        <v>44121505</v>
      </c>
      <c r="D180" s="602" t="s">
        <v>545</v>
      </c>
      <c r="E180" s="600" t="s">
        <v>48</v>
      </c>
      <c r="F180" s="600">
        <v>1</v>
      </c>
      <c r="G180" s="603" t="s">
        <v>75</v>
      </c>
      <c r="H180" s="604" t="s">
        <v>156</v>
      </c>
      <c r="I180" s="600" t="s">
        <v>173</v>
      </c>
      <c r="J180" s="600" t="s">
        <v>35</v>
      </c>
      <c r="K180" s="600" t="s">
        <v>41</v>
      </c>
      <c r="L180" s="605">
        <v>1620000</v>
      </c>
      <c r="M180" s="606">
        <v>1620000</v>
      </c>
      <c r="N180" s="600" t="s">
        <v>51</v>
      </c>
      <c r="O180" s="600" t="s">
        <v>36</v>
      </c>
      <c r="P180" s="600" t="s">
        <v>546</v>
      </c>
      <c r="Q180" s="80"/>
      <c r="R180" s="626"/>
      <c r="S180" s="608"/>
      <c r="T180" s="608"/>
      <c r="U180" s="608"/>
      <c r="V180" s="608"/>
      <c r="W180" s="608"/>
      <c r="X180" s="608"/>
      <c r="Y180" s="608"/>
      <c r="Z180" s="608"/>
      <c r="AA180" s="608"/>
      <c r="AB180" s="608"/>
      <c r="AC180" s="608"/>
      <c r="AD180" s="608"/>
      <c r="AE180" s="608"/>
      <c r="AF180" s="608"/>
      <c r="AG180" s="608"/>
      <c r="AH180" s="608"/>
      <c r="AI180" s="608"/>
      <c r="AJ180" s="608"/>
      <c r="AK180" s="608"/>
      <c r="AL180" s="608"/>
      <c r="AM180" s="608"/>
    </row>
    <row r="181" spans="1:39" ht="137.44999999999999" hidden="1" customHeight="1" x14ac:dyDescent="0.25">
      <c r="A181" s="599">
        <f t="shared" si="6"/>
        <v>162</v>
      </c>
      <c r="B181" s="600" t="s">
        <v>485</v>
      </c>
      <c r="C181" s="601">
        <v>41112409</v>
      </c>
      <c r="D181" s="627" t="s">
        <v>486</v>
      </c>
      <c r="E181" s="600" t="s">
        <v>48</v>
      </c>
      <c r="F181" s="600">
        <v>1</v>
      </c>
      <c r="G181" s="603" t="s">
        <v>75</v>
      </c>
      <c r="H181" s="604" t="s">
        <v>156</v>
      </c>
      <c r="I181" s="600" t="s">
        <v>55</v>
      </c>
      <c r="J181" s="600" t="s">
        <v>35</v>
      </c>
      <c r="K181" s="600" t="s">
        <v>195</v>
      </c>
      <c r="L181" s="605">
        <v>8000000</v>
      </c>
      <c r="M181" s="606">
        <v>8000000</v>
      </c>
      <c r="N181" s="600" t="s">
        <v>51</v>
      </c>
      <c r="O181" s="600" t="s">
        <v>36</v>
      </c>
      <c r="P181" s="600" t="s">
        <v>319</v>
      </c>
      <c r="Q181" s="80"/>
      <c r="R181" s="624"/>
      <c r="S181" s="608"/>
      <c r="T181" s="608"/>
      <c r="U181" s="608"/>
      <c r="V181" s="608"/>
      <c r="W181" s="608"/>
      <c r="X181" s="608"/>
      <c r="Y181" s="608"/>
      <c r="Z181" s="608"/>
      <c r="AA181" s="608"/>
      <c r="AB181" s="608"/>
      <c r="AC181" s="608"/>
      <c r="AD181" s="608"/>
      <c r="AE181" s="608"/>
      <c r="AF181" s="608"/>
      <c r="AG181" s="608"/>
      <c r="AH181" s="608"/>
      <c r="AI181" s="608"/>
      <c r="AJ181" s="608"/>
      <c r="AK181" s="608"/>
      <c r="AL181" s="608"/>
      <c r="AM181" s="608"/>
    </row>
    <row r="182" spans="1:39" ht="93" hidden="1" x14ac:dyDescent="0.25">
      <c r="A182" s="599">
        <f t="shared" si="6"/>
        <v>163</v>
      </c>
      <c r="B182" s="600" t="s">
        <v>170</v>
      </c>
      <c r="C182" s="601" t="s">
        <v>71</v>
      </c>
      <c r="D182" s="627" t="s">
        <v>549</v>
      </c>
      <c r="E182" s="600" t="s">
        <v>48</v>
      </c>
      <c r="F182" s="600">
        <v>1</v>
      </c>
      <c r="G182" s="603" t="s">
        <v>80</v>
      </c>
      <c r="H182" s="604" t="s">
        <v>177</v>
      </c>
      <c r="I182" s="600" t="s">
        <v>173</v>
      </c>
      <c r="J182" s="600" t="s">
        <v>66</v>
      </c>
      <c r="K182" s="600" t="s">
        <v>475</v>
      </c>
      <c r="L182" s="605">
        <v>90000000</v>
      </c>
      <c r="M182" s="606">
        <v>90000000</v>
      </c>
      <c r="N182" s="600" t="s">
        <v>51</v>
      </c>
      <c r="O182" s="600" t="s">
        <v>36</v>
      </c>
      <c r="P182" s="600" t="s">
        <v>527</v>
      </c>
      <c r="Q182" s="80"/>
      <c r="R182" s="626"/>
      <c r="S182" s="608"/>
      <c r="T182" s="608"/>
      <c r="U182" s="608"/>
      <c r="V182" s="608"/>
      <c r="W182" s="608"/>
      <c r="X182" s="608"/>
      <c r="Y182" s="608"/>
      <c r="Z182" s="608"/>
      <c r="AA182" s="608"/>
      <c r="AB182" s="608"/>
      <c r="AC182" s="608"/>
      <c r="AD182" s="608"/>
      <c r="AE182" s="608"/>
      <c r="AF182" s="608"/>
      <c r="AG182" s="608"/>
      <c r="AH182" s="608"/>
      <c r="AI182" s="608"/>
      <c r="AJ182" s="608"/>
      <c r="AK182" s="608"/>
      <c r="AL182" s="608"/>
      <c r="AM182" s="608"/>
    </row>
    <row r="183" spans="1:39" ht="93" hidden="1" x14ac:dyDescent="0.25">
      <c r="A183" s="599">
        <f t="shared" si="6"/>
        <v>164</v>
      </c>
      <c r="B183" s="600" t="s">
        <v>170</v>
      </c>
      <c r="C183" s="601" t="s">
        <v>71</v>
      </c>
      <c r="D183" s="627" t="s">
        <v>550</v>
      </c>
      <c r="E183" s="600" t="s">
        <v>48</v>
      </c>
      <c r="F183" s="600">
        <v>1</v>
      </c>
      <c r="G183" s="603" t="s">
        <v>73</v>
      </c>
      <c r="H183" s="604" t="s">
        <v>194</v>
      </c>
      <c r="I183" s="600" t="s">
        <v>55</v>
      </c>
      <c r="J183" s="600" t="s">
        <v>35</v>
      </c>
      <c r="K183" s="600" t="s">
        <v>314</v>
      </c>
      <c r="L183" s="605">
        <v>2500000</v>
      </c>
      <c r="M183" s="606">
        <v>2500000</v>
      </c>
      <c r="N183" s="600" t="s">
        <v>51</v>
      </c>
      <c r="O183" s="600" t="s">
        <v>36</v>
      </c>
      <c r="P183" s="600" t="s">
        <v>527</v>
      </c>
      <c r="Q183" s="80"/>
      <c r="R183" s="626"/>
      <c r="S183" s="608"/>
      <c r="T183" s="608"/>
      <c r="U183" s="608"/>
      <c r="V183" s="608"/>
      <c r="W183" s="608"/>
      <c r="X183" s="608"/>
      <c r="Y183" s="608"/>
      <c r="Z183" s="608"/>
      <c r="AA183" s="608"/>
      <c r="AB183" s="608"/>
      <c r="AC183" s="608"/>
      <c r="AD183" s="608"/>
      <c r="AE183" s="608"/>
      <c r="AF183" s="608"/>
      <c r="AG183" s="608"/>
      <c r="AH183" s="608"/>
      <c r="AI183" s="608"/>
      <c r="AJ183" s="608"/>
      <c r="AK183" s="608"/>
      <c r="AL183" s="608"/>
      <c r="AM183" s="608"/>
    </row>
    <row r="184" spans="1:39" ht="102.6" hidden="1" customHeight="1" x14ac:dyDescent="0.25">
      <c r="A184" s="599">
        <f t="shared" si="6"/>
        <v>165</v>
      </c>
      <c r="B184" s="600" t="s">
        <v>505</v>
      </c>
      <c r="C184" s="601" t="s">
        <v>71</v>
      </c>
      <c r="D184" s="627" t="s">
        <v>551</v>
      </c>
      <c r="E184" s="600" t="s">
        <v>48</v>
      </c>
      <c r="F184" s="600">
        <v>1</v>
      </c>
      <c r="G184" s="603" t="s">
        <v>80</v>
      </c>
      <c r="H184" s="604" t="s">
        <v>157</v>
      </c>
      <c r="I184" s="600" t="s">
        <v>53</v>
      </c>
      <c r="J184" s="600" t="s">
        <v>66</v>
      </c>
      <c r="K184" s="600" t="s">
        <v>475</v>
      </c>
      <c r="L184" s="605">
        <v>5000000</v>
      </c>
      <c r="M184" s="606">
        <v>5000000</v>
      </c>
      <c r="N184" s="600" t="s">
        <v>51</v>
      </c>
      <c r="O184" s="600" t="s">
        <v>36</v>
      </c>
      <c r="P184" s="600" t="s">
        <v>504</v>
      </c>
      <c r="Q184" s="80"/>
      <c r="R184" s="626"/>
      <c r="S184" s="608"/>
      <c r="T184" s="608"/>
      <c r="U184" s="608"/>
      <c r="V184" s="608"/>
      <c r="W184" s="608"/>
      <c r="X184" s="608"/>
      <c r="Y184" s="608"/>
      <c r="Z184" s="608"/>
      <c r="AA184" s="608"/>
      <c r="AB184" s="608"/>
      <c r="AC184" s="608"/>
      <c r="AD184" s="608"/>
      <c r="AE184" s="608"/>
      <c r="AF184" s="608"/>
      <c r="AG184" s="608"/>
      <c r="AH184" s="608"/>
      <c r="AI184" s="608"/>
      <c r="AJ184" s="608"/>
      <c r="AK184" s="608"/>
      <c r="AL184" s="608"/>
      <c r="AM184" s="608"/>
    </row>
    <row r="185" spans="1:39" ht="93" hidden="1" x14ac:dyDescent="0.25">
      <c r="A185" s="599">
        <f t="shared" ref="A185" si="7">SUM(A184+1)</f>
        <v>166</v>
      </c>
      <c r="B185" s="600" t="s">
        <v>266</v>
      </c>
      <c r="C185" s="601" t="s">
        <v>71</v>
      </c>
      <c r="D185" s="627" t="s">
        <v>552</v>
      </c>
      <c r="E185" s="600" t="s">
        <v>48</v>
      </c>
      <c r="F185" s="600">
        <v>1</v>
      </c>
      <c r="G185" s="603" t="s">
        <v>73</v>
      </c>
      <c r="H185" s="604" t="s">
        <v>194</v>
      </c>
      <c r="I185" s="600" t="s">
        <v>173</v>
      </c>
      <c r="J185" s="600" t="s">
        <v>35</v>
      </c>
      <c r="K185" s="600" t="s">
        <v>203</v>
      </c>
      <c r="L185" s="605">
        <v>26000000</v>
      </c>
      <c r="M185" s="606">
        <v>26000000</v>
      </c>
      <c r="N185" s="600" t="s">
        <v>51</v>
      </c>
      <c r="O185" s="600" t="s">
        <v>36</v>
      </c>
      <c r="P185" s="600" t="s">
        <v>529</v>
      </c>
      <c r="Q185" s="80"/>
      <c r="R185" s="626"/>
      <c r="S185" s="608"/>
      <c r="T185" s="608"/>
      <c r="U185" s="608"/>
      <c r="V185" s="608"/>
      <c r="W185" s="608"/>
      <c r="X185" s="608"/>
      <c r="Y185" s="608"/>
      <c r="Z185" s="608"/>
      <c r="AA185" s="608"/>
      <c r="AB185" s="608"/>
      <c r="AC185" s="608"/>
      <c r="AD185" s="608"/>
      <c r="AE185" s="608"/>
      <c r="AF185" s="608"/>
      <c r="AG185" s="608"/>
      <c r="AH185" s="608"/>
      <c r="AI185" s="608"/>
      <c r="AJ185" s="608"/>
      <c r="AK185" s="608"/>
      <c r="AL185" s="608"/>
      <c r="AM185" s="608"/>
    </row>
    <row r="192" spans="1:39" ht="64.150000000000006" customHeight="1" x14ac:dyDescent="0.25">
      <c r="D192" s="80"/>
      <c r="E192" s="816" t="s">
        <v>584</v>
      </c>
      <c r="F192" s="817"/>
      <c r="G192" s="817"/>
      <c r="H192" s="817"/>
      <c r="I192" s="818"/>
    </row>
    <row r="194" spans="4:9" ht="58.15" customHeight="1" x14ac:dyDescent="0.25">
      <c r="D194" s="641"/>
      <c r="E194" s="816" t="s">
        <v>591</v>
      </c>
      <c r="F194" s="817"/>
      <c r="G194" s="817"/>
      <c r="H194" s="817"/>
      <c r="I194" s="818"/>
    </row>
  </sheetData>
  <autoFilter ref="A19:R185">
    <filterColumn colId="9">
      <filters>
        <filter val="INVERSIÓN"/>
      </filters>
    </filterColumn>
    <filterColumn colId="10">
      <filters>
        <filter val="C-0505-1000-1 RECURSO 10 DESARROLLO Y FORTALECIM DE CAPACIDADES DE DE LAS ENTIDADES TERRITORIALES DE LA CIRCUNSCRIPCION NACIONAL"/>
      </filters>
    </filterColumn>
    <sortState ref="A58:R184">
      <sortCondition sortBy="cellColor" ref="D19:D185" dxfId="0"/>
    </sortState>
  </autoFilter>
  <mergeCells count="18">
    <mergeCell ref="C17:D17"/>
    <mergeCell ref="E192:I192"/>
    <mergeCell ref="E194:I194"/>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opLeftCell="A4" zoomScale="50" zoomScaleNormal="50" workbookViewId="0">
      <selection activeCell="K5" sqref="K5:K9"/>
    </sheetView>
  </sheetViews>
  <sheetFormatPr baseColWidth="10" defaultRowHeight="18.75" x14ac:dyDescent="0.3"/>
  <cols>
    <col min="1" max="8" width="4.85546875" customWidth="1"/>
    <col min="9" max="9" width="39" customWidth="1"/>
    <col min="10" max="12" width="39" style="110" customWidth="1"/>
    <col min="13" max="13" width="4.28515625" style="80" customWidth="1"/>
    <col min="14" max="14" width="35" style="105" customWidth="1"/>
    <col min="15" max="15" width="33" style="105" customWidth="1"/>
    <col min="16" max="16" width="65.28515625" style="105" customWidth="1"/>
    <col min="17" max="17" width="5.140625" style="80" customWidth="1"/>
    <col min="18" max="18" width="28.5703125" style="109" customWidth="1"/>
    <col min="19" max="19" width="31.7109375" style="109" customWidth="1"/>
    <col min="20" max="20" width="31" style="109" customWidth="1"/>
    <col min="21" max="21" width="8" style="80" customWidth="1"/>
    <col min="22" max="22" width="33.28515625" customWidth="1"/>
    <col min="23" max="23" width="30.7109375" customWidth="1"/>
    <col min="257" max="264" width="4.85546875" customWidth="1"/>
    <col min="265" max="265" width="39" customWidth="1"/>
    <col min="266" max="266" width="35" customWidth="1"/>
    <col min="267" max="267" width="33" customWidth="1"/>
    <col min="268" max="268" width="32.5703125" customWidth="1"/>
    <col min="269" max="269" width="5.140625" customWidth="1"/>
    <col min="270" max="270" width="30.7109375" customWidth="1"/>
    <col min="271" max="271" width="29" customWidth="1"/>
    <col min="272" max="272" width="42.42578125" customWidth="1"/>
    <col min="273" max="273" width="7" customWidth="1"/>
    <col min="274" max="274" width="28.5703125" customWidth="1"/>
    <col min="275" max="275" width="30.140625" customWidth="1"/>
    <col min="276" max="276" width="24.42578125" customWidth="1"/>
    <col min="513" max="520" width="4.85546875" customWidth="1"/>
    <col min="521" max="521" width="39" customWidth="1"/>
    <col min="522" max="522" width="35" customWidth="1"/>
    <col min="523" max="523" width="33" customWidth="1"/>
    <col min="524" max="524" width="32.5703125" customWidth="1"/>
    <col min="525" max="525" width="5.140625" customWidth="1"/>
    <col min="526" max="526" width="30.7109375" customWidth="1"/>
    <col min="527" max="527" width="29" customWidth="1"/>
    <col min="528" max="528" width="42.42578125" customWidth="1"/>
    <col min="529" max="529" width="7" customWidth="1"/>
    <col min="530" max="530" width="28.5703125" customWidth="1"/>
    <col min="531" max="531" width="30.140625" customWidth="1"/>
    <col min="532" max="532" width="24.42578125" customWidth="1"/>
    <col min="769" max="776" width="4.85546875" customWidth="1"/>
    <col min="777" max="777" width="39" customWidth="1"/>
    <col min="778" max="778" width="35" customWidth="1"/>
    <col min="779" max="779" width="33" customWidth="1"/>
    <col min="780" max="780" width="32.5703125" customWidth="1"/>
    <col min="781" max="781" width="5.140625" customWidth="1"/>
    <col min="782" max="782" width="30.7109375" customWidth="1"/>
    <col min="783" max="783" width="29" customWidth="1"/>
    <col min="784" max="784" width="42.42578125" customWidth="1"/>
    <col min="785" max="785" width="7" customWidth="1"/>
    <col min="786" max="786" width="28.5703125" customWidth="1"/>
    <col min="787" max="787" width="30.140625" customWidth="1"/>
    <col min="788" max="788" width="24.42578125" customWidth="1"/>
    <col min="1025" max="1032" width="4.85546875" customWidth="1"/>
    <col min="1033" max="1033" width="39" customWidth="1"/>
    <col min="1034" max="1034" width="35" customWidth="1"/>
    <col min="1035" max="1035" width="33" customWidth="1"/>
    <col min="1036" max="1036" width="32.5703125" customWidth="1"/>
    <col min="1037" max="1037" width="5.140625" customWidth="1"/>
    <col min="1038" max="1038" width="30.7109375" customWidth="1"/>
    <col min="1039" max="1039" width="29" customWidth="1"/>
    <col min="1040" max="1040" width="42.42578125" customWidth="1"/>
    <col min="1041" max="1041" width="7" customWidth="1"/>
    <col min="1042" max="1042" width="28.5703125" customWidth="1"/>
    <col min="1043" max="1043" width="30.140625" customWidth="1"/>
    <col min="1044" max="1044" width="24.42578125" customWidth="1"/>
    <col min="1281" max="1288" width="4.85546875" customWidth="1"/>
    <col min="1289" max="1289" width="39" customWidth="1"/>
    <col min="1290" max="1290" width="35" customWidth="1"/>
    <col min="1291" max="1291" width="33" customWidth="1"/>
    <col min="1292" max="1292" width="32.5703125" customWidth="1"/>
    <col min="1293" max="1293" width="5.140625" customWidth="1"/>
    <col min="1294" max="1294" width="30.7109375" customWidth="1"/>
    <col min="1295" max="1295" width="29" customWidth="1"/>
    <col min="1296" max="1296" width="42.42578125" customWidth="1"/>
    <col min="1297" max="1297" width="7" customWidth="1"/>
    <col min="1298" max="1298" width="28.5703125" customWidth="1"/>
    <col min="1299" max="1299" width="30.140625" customWidth="1"/>
    <col min="1300" max="1300" width="24.42578125" customWidth="1"/>
    <col min="1537" max="1544" width="4.85546875" customWidth="1"/>
    <col min="1545" max="1545" width="39" customWidth="1"/>
    <col min="1546" max="1546" width="35" customWidth="1"/>
    <col min="1547" max="1547" width="33" customWidth="1"/>
    <col min="1548" max="1548" width="32.5703125" customWidth="1"/>
    <col min="1549" max="1549" width="5.140625" customWidth="1"/>
    <col min="1550" max="1550" width="30.7109375" customWidth="1"/>
    <col min="1551" max="1551" width="29" customWidth="1"/>
    <col min="1552" max="1552" width="42.42578125" customWidth="1"/>
    <col min="1553" max="1553" width="7" customWidth="1"/>
    <col min="1554" max="1554" width="28.5703125" customWidth="1"/>
    <col min="1555" max="1555" width="30.140625" customWidth="1"/>
    <col min="1556" max="1556" width="24.42578125" customWidth="1"/>
    <col min="1793" max="1800" width="4.85546875" customWidth="1"/>
    <col min="1801" max="1801" width="39" customWidth="1"/>
    <col min="1802" max="1802" width="35" customWidth="1"/>
    <col min="1803" max="1803" width="33" customWidth="1"/>
    <col min="1804" max="1804" width="32.5703125" customWidth="1"/>
    <col min="1805" max="1805" width="5.140625" customWidth="1"/>
    <col min="1806" max="1806" width="30.7109375" customWidth="1"/>
    <col min="1807" max="1807" width="29" customWidth="1"/>
    <col min="1808" max="1808" width="42.42578125" customWidth="1"/>
    <col min="1809" max="1809" width="7" customWidth="1"/>
    <col min="1810" max="1810" width="28.5703125" customWidth="1"/>
    <col min="1811" max="1811" width="30.140625" customWidth="1"/>
    <col min="1812" max="1812" width="24.42578125" customWidth="1"/>
    <col min="2049" max="2056" width="4.85546875" customWidth="1"/>
    <col min="2057" max="2057" width="39" customWidth="1"/>
    <col min="2058" max="2058" width="35" customWidth="1"/>
    <col min="2059" max="2059" width="33" customWidth="1"/>
    <col min="2060" max="2060" width="32.5703125" customWidth="1"/>
    <col min="2061" max="2061" width="5.140625" customWidth="1"/>
    <col min="2062" max="2062" width="30.7109375" customWidth="1"/>
    <col min="2063" max="2063" width="29" customWidth="1"/>
    <col min="2064" max="2064" width="42.42578125" customWidth="1"/>
    <col min="2065" max="2065" width="7" customWidth="1"/>
    <col min="2066" max="2066" width="28.5703125" customWidth="1"/>
    <col min="2067" max="2067" width="30.140625" customWidth="1"/>
    <col min="2068" max="2068" width="24.42578125" customWidth="1"/>
    <col min="2305" max="2312" width="4.85546875" customWidth="1"/>
    <col min="2313" max="2313" width="39" customWidth="1"/>
    <col min="2314" max="2314" width="35" customWidth="1"/>
    <col min="2315" max="2315" width="33" customWidth="1"/>
    <col min="2316" max="2316" width="32.5703125" customWidth="1"/>
    <col min="2317" max="2317" width="5.140625" customWidth="1"/>
    <col min="2318" max="2318" width="30.7109375" customWidth="1"/>
    <col min="2319" max="2319" width="29" customWidth="1"/>
    <col min="2320" max="2320" width="42.42578125" customWidth="1"/>
    <col min="2321" max="2321" width="7" customWidth="1"/>
    <col min="2322" max="2322" width="28.5703125" customWidth="1"/>
    <col min="2323" max="2323" width="30.140625" customWidth="1"/>
    <col min="2324" max="2324" width="24.42578125" customWidth="1"/>
    <col min="2561" max="2568" width="4.85546875" customWidth="1"/>
    <col min="2569" max="2569" width="39" customWidth="1"/>
    <col min="2570" max="2570" width="35" customWidth="1"/>
    <col min="2571" max="2571" width="33" customWidth="1"/>
    <col min="2572" max="2572" width="32.5703125" customWidth="1"/>
    <col min="2573" max="2573" width="5.140625" customWidth="1"/>
    <col min="2574" max="2574" width="30.7109375" customWidth="1"/>
    <col min="2575" max="2575" width="29" customWidth="1"/>
    <col min="2576" max="2576" width="42.42578125" customWidth="1"/>
    <col min="2577" max="2577" width="7" customWidth="1"/>
    <col min="2578" max="2578" width="28.5703125" customWidth="1"/>
    <col min="2579" max="2579" width="30.140625" customWidth="1"/>
    <col min="2580" max="2580" width="24.42578125" customWidth="1"/>
    <col min="2817" max="2824" width="4.85546875" customWidth="1"/>
    <col min="2825" max="2825" width="39" customWidth="1"/>
    <col min="2826" max="2826" width="35" customWidth="1"/>
    <col min="2827" max="2827" width="33" customWidth="1"/>
    <col min="2828" max="2828" width="32.5703125" customWidth="1"/>
    <col min="2829" max="2829" width="5.140625" customWidth="1"/>
    <col min="2830" max="2830" width="30.7109375" customWidth="1"/>
    <col min="2831" max="2831" width="29" customWidth="1"/>
    <col min="2832" max="2832" width="42.42578125" customWidth="1"/>
    <col min="2833" max="2833" width="7" customWidth="1"/>
    <col min="2834" max="2834" width="28.5703125" customWidth="1"/>
    <col min="2835" max="2835" width="30.140625" customWidth="1"/>
    <col min="2836" max="2836" width="24.42578125" customWidth="1"/>
    <col min="3073" max="3080" width="4.85546875" customWidth="1"/>
    <col min="3081" max="3081" width="39" customWidth="1"/>
    <col min="3082" max="3082" width="35" customWidth="1"/>
    <col min="3083" max="3083" width="33" customWidth="1"/>
    <col min="3084" max="3084" width="32.5703125" customWidth="1"/>
    <col min="3085" max="3085" width="5.140625" customWidth="1"/>
    <col min="3086" max="3086" width="30.7109375" customWidth="1"/>
    <col min="3087" max="3087" width="29" customWidth="1"/>
    <col min="3088" max="3088" width="42.42578125" customWidth="1"/>
    <col min="3089" max="3089" width="7" customWidth="1"/>
    <col min="3090" max="3090" width="28.5703125" customWidth="1"/>
    <col min="3091" max="3091" width="30.140625" customWidth="1"/>
    <col min="3092" max="3092" width="24.42578125" customWidth="1"/>
    <col min="3329" max="3336" width="4.85546875" customWidth="1"/>
    <col min="3337" max="3337" width="39" customWidth="1"/>
    <col min="3338" max="3338" width="35" customWidth="1"/>
    <col min="3339" max="3339" width="33" customWidth="1"/>
    <col min="3340" max="3340" width="32.5703125" customWidth="1"/>
    <col min="3341" max="3341" width="5.140625" customWidth="1"/>
    <col min="3342" max="3342" width="30.7109375" customWidth="1"/>
    <col min="3343" max="3343" width="29" customWidth="1"/>
    <col min="3344" max="3344" width="42.42578125" customWidth="1"/>
    <col min="3345" max="3345" width="7" customWidth="1"/>
    <col min="3346" max="3346" width="28.5703125" customWidth="1"/>
    <col min="3347" max="3347" width="30.140625" customWidth="1"/>
    <col min="3348" max="3348" width="24.42578125" customWidth="1"/>
    <col min="3585" max="3592" width="4.85546875" customWidth="1"/>
    <col min="3593" max="3593" width="39" customWidth="1"/>
    <col min="3594" max="3594" width="35" customWidth="1"/>
    <col min="3595" max="3595" width="33" customWidth="1"/>
    <col min="3596" max="3596" width="32.5703125" customWidth="1"/>
    <col min="3597" max="3597" width="5.140625" customWidth="1"/>
    <col min="3598" max="3598" width="30.7109375" customWidth="1"/>
    <col min="3599" max="3599" width="29" customWidth="1"/>
    <col min="3600" max="3600" width="42.42578125" customWidth="1"/>
    <col min="3601" max="3601" width="7" customWidth="1"/>
    <col min="3602" max="3602" width="28.5703125" customWidth="1"/>
    <col min="3603" max="3603" width="30.140625" customWidth="1"/>
    <col min="3604" max="3604" width="24.42578125" customWidth="1"/>
    <col min="3841" max="3848" width="4.85546875" customWidth="1"/>
    <col min="3849" max="3849" width="39" customWidth="1"/>
    <col min="3850" max="3850" width="35" customWidth="1"/>
    <col min="3851" max="3851" width="33" customWidth="1"/>
    <col min="3852" max="3852" width="32.5703125" customWidth="1"/>
    <col min="3853" max="3853" width="5.140625" customWidth="1"/>
    <col min="3854" max="3854" width="30.7109375" customWidth="1"/>
    <col min="3855" max="3855" width="29" customWidth="1"/>
    <col min="3856" max="3856" width="42.42578125" customWidth="1"/>
    <col min="3857" max="3857" width="7" customWidth="1"/>
    <col min="3858" max="3858" width="28.5703125" customWidth="1"/>
    <col min="3859" max="3859" width="30.140625" customWidth="1"/>
    <col min="3860" max="3860" width="24.42578125" customWidth="1"/>
    <col min="4097" max="4104" width="4.85546875" customWidth="1"/>
    <col min="4105" max="4105" width="39" customWidth="1"/>
    <col min="4106" max="4106" width="35" customWidth="1"/>
    <col min="4107" max="4107" width="33" customWidth="1"/>
    <col min="4108" max="4108" width="32.5703125" customWidth="1"/>
    <col min="4109" max="4109" width="5.140625" customWidth="1"/>
    <col min="4110" max="4110" width="30.7109375" customWidth="1"/>
    <col min="4111" max="4111" width="29" customWidth="1"/>
    <col min="4112" max="4112" width="42.42578125" customWidth="1"/>
    <col min="4113" max="4113" width="7" customWidth="1"/>
    <col min="4114" max="4114" width="28.5703125" customWidth="1"/>
    <col min="4115" max="4115" width="30.140625" customWidth="1"/>
    <col min="4116" max="4116" width="24.42578125" customWidth="1"/>
    <col min="4353" max="4360" width="4.85546875" customWidth="1"/>
    <col min="4361" max="4361" width="39" customWidth="1"/>
    <col min="4362" max="4362" width="35" customWidth="1"/>
    <col min="4363" max="4363" width="33" customWidth="1"/>
    <col min="4364" max="4364" width="32.5703125" customWidth="1"/>
    <col min="4365" max="4365" width="5.140625" customWidth="1"/>
    <col min="4366" max="4366" width="30.7109375" customWidth="1"/>
    <col min="4367" max="4367" width="29" customWidth="1"/>
    <col min="4368" max="4368" width="42.42578125" customWidth="1"/>
    <col min="4369" max="4369" width="7" customWidth="1"/>
    <col min="4370" max="4370" width="28.5703125" customWidth="1"/>
    <col min="4371" max="4371" width="30.140625" customWidth="1"/>
    <col min="4372" max="4372" width="24.42578125" customWidth="1"/>
    <col min="4609" max="4616" width="4.85546875" customWidth="1"/>
    <col min="4617" max="4617" width="39" customWidth="1"/>
    <col min="4618" max="4618" width="35" customWidth="1"/>
    <col min="4619" max="4619" width="33" customWidth="1"/>
    <col min="4620" max="4620" width="32.5703125" customWidth="1"/>
    <col min="4621" max="4621" width="5.140625" customWidth="1"/>
    <col min="4622" max="4622" width="30.7109375" customWidth="1"/>
    <col min="4623" max="4623" width="29" customWidth="1"/>
    <col min="4624" max="4624" width="42.42578125" customWidth="1"/>
    <col min="4625" max="4625" width="7" customWidth="1"/>
    <col min="4626" max="4626" width="28.5703125" customWidth="1"/>
    <col min="4627" max="4627" width="30.140625" customWidth="1"/>
    <col min="4628" max="4628" width="24.42578125" customWidth="1"/>
    <col min="4865" max="4872" width="4.85546875" customWidth="1"/>
    <col min="4873" max="4873" width="39" customWidth="1"/>
    <col min="4874" max="4874" width="35" customWidth="1"/>
    <col min="4875" max="4875" width="33" customWidth="1"/>
    <col min="4876" max="4876" width="32.5703125" customWidth="1"/>
    <col min="4877" max="4877" width="5.140625" customWidth="1"/>
    <col min="4878" max="4878" width="30.7109375" customWidth="1"/>
    <col min="4879" max="4879" width="29" customWidth="1"/>
    <col min="4880" max="4880" width="42.42578125" customWidth="1"/>
    <col min="4881" max="4881" width="7" customWidth="1"/>
    <col min="4882" max="4882" width="28.5703125" customWidth="1"/>
    <col min="4883" max="4883" width="30.140625" customWidth="1"/>
    <col min="4884" max="4884" width="24.42578125" customWidth="1"/>
    <col min="5121" max="5128" width="4.85546875" customWidth="1"/>
    <col min="5129" max="5129" width="39" customWidth="1"/>
    <col min="5130" max="5130" width="35" customWidth="1"/>
    <col min="5131" max="5131" width="33" customWidth="1"/>
    <col min="5132" max="5132" width="32.5703125" customWidth="1"/>
    <col min="5133" max="5133" width="5.140625" customWidth="1"/>
    <col min="5134" max="5134" width="30.7109375" customWidth="1"/>
    <col min="5135" max="5135" width="29" customWidth="1"/>
    <col min="5136" max="5136" width="42.42578125" customWidth="1"/>
    <col min="5137" max="5137" width="7" customWidth="1"/>
    <col min="5138" max="5138" width="28.5703125" customWidth="1"/>
    <col min="5139" max="5139" width="30.140625" customWidth="1"/>
    <col min="5140" max="5140" width="24.42578125" customWidth="1"/>
    <col min="5377" max="5384" width="4.85546875" customWidth="1"/>
    <col min="5385" max="5385" width="39" customWidth="1"/>
    <col min="5386" max="5386" width="35" customWidth="1"/>
    <col min="5387" max="5387" width="33" customWidth="1"/>
    <col min="5388" max="5388" width="32.5703125" customWidth="1"/>
    <col min="5389" max="5389" width="5.140625" customWidth="1"/>
    <col min="5390" max="5390" width="30.7109375" customWidth="1"/>
    <col min="5391" max="5391" width="29" customWidth="1"/>
    <col min="5392" max="5392" width="42.42578125" customWidth="1"/>
    <col min="5393" max="5393" width="7" customWidth="1"/>
    <col min="5394" max="5394" width="28.5703125" customWidth="1"/>
    <col min="5395" max="5395" width="30.140625" customWidth="1"/>
    <col min="5396" max="5396" width="24.42578125" customWidth="1"/>
    <col min="5633" max="5640" width="4.85546875" customWidth="1"/>
    <col min="5641" max="5641" width="39" customWidth="1"/>
    <col min="5642" max="5642" width="35" customWidth="1"/>
    <col min="5643" max="5643" width="33" customWidth="1"/>
    <col min="5644" max="5644" width="32.5703125" customWidth="1"/>
    <col min="5645" max="5645" width="5.140625" customWidth="1"/>
    <col min="5646" max="5646" width="30.7109375" customWidth="1"/>
    <col min="5647" max="5647" width="29" customWidth="1"/>
    <col min="5648" max="5648" width="42.42578125" customWidth="1"/>
    <col min="5649" max="5649" width="7" customWidth="1"/>
    <col min="5650" max="5650" width="28.5703125" customWidth="1"/>
    <col min="5651" max="5651" width="30.140625" customWidth="1"/>
    <col min="5652" max="5652" width="24.42578125" customWidth="1"/>
    <col min="5889" max="5896" width="4.85546875" customWidth="1"/>
    <col min="5897" max="5897" width="39" customWidth="1"/>
    <col min="5898" max="5898" width="35" customWidth="1"/>
    <col min="5899" max="5899" width="33" customWidth="1"/>
    <col min="5900" max="5900" width="32.5703125" customWidth="1"/>
    <col min="5901" max="5901" width="5.140625" customWidth="1"/>
    <col min="5902" max="5902" width="30.7109375" customWidth="1"/>
    <col min="5903" max="5903" width="29" customWidth="1"/>
    <col min="5904" max="5904" width="42.42578125" customWidth="1"/>
    <col min="5905" max="5905" width="7" customWidth="1"/>
    <col min="5906" max="5906" width="28.5703125" customWidth="1"/>
    <col min="5907" max="5907" width="30.140625" customWidth="1"/>
    <col min="5908" max="5908" width="24.42578125" customWidth="1"/>
    <col min="6145" max="6152" width="4.85546875" customWidth="1"/>
    <col min="6153" max="6153" width="39" customWidth="1"/>
    <col min="6154" max="6154" width="35" customWidth="1"/>
    <col min="6155" max="6155" width="33" customWidth="1"/>
    <col min="6156" max="6156" width="32.5703125" customWidth="1"/>
    <col min="6157" max="6157" width="5.140625" customWidth="1"/>
    <col min="6158" max="6158" width="30.7109375" customWidth="1"/>
    <col min="6159" max="6159" width="29" customWidth="1"/>
    <col min="6160" max="6160" width="42.42578125" customWidth="1"/>
    <col min="6161" max="6161" width="7" customWidth="1"/>
    <col min="6162" max="6162" width="28.5703125" customWidth="1"/>
    <col min="6163" max="6163" width="30.140625" customWidth="1"/>
    <col min="6164" max="6164" width="24.42578125" customWidth="1"/>
    <col min="6401" max="6408" width="4.85546875" customWidth="1"/>
    <col min="6409" max="6409" width="39" customWidth="1"/>
    <col min="6410" max="6410" width="35" customWidth="1"/>
    <col min="6411" max="6411" width="33" customWidth="1"/>
    <col min="6412" max="6412" width="32.5703125" customWidth="1"/>
    <col min="6413" max="6413" width="5.140625" customWidth="1"/>
    <col min="6414" max="6414" width="30.7109375" customWidth="1"/>
    <col min="6415" max="6415" width="29" customWidth="1"/>
    <col min="6416" max="6416" width="42.42578125" customWidth="1"/>
    <col min="6417" max="6417" width="7" customWidth="1"/>
    <col min="6418" max="6418" width="28.5703125" customWidth="1"/>
    <col min="6419" max="6419" width="30.140625" customWidth="1"/>
    <col min="6420" max="6420" width="24.42578125" customWidth="1"/>
    <col min="6657" max="6664" width="4.85546875" customWidth="1"/>
    <col min="6665" max="6665" width="39" customWidth="1"/>
    <col min="6666" max="6666" width="35" customWidth="1"/>
    <col min="6667" max="6667" width="33" customWidth="1"/>
    <col min="6668" max="6668" width="32.5703125" customWidth="1"/>
    <col min="6669" max="6669" width="5.140625" customWidth="1"/>
    <col min="6670" max="6670" width="30.7109375" customWidth="1"/>
    <col min="6671" max="6671" width="29" customWidth="1"/>
    <col min="6672" max="6672" width="42.42578125" customWidth="1"/>
    <col min="6673" max="6673" width="7" customWidth="1"/>
    <col min="6674" max="6674" width="28.5703125" customWidth="1"/>
    <col min="6675" max="6675" width="30.140625" customWidth="1"/>
    <col min="6676" max="6676" width="24.42578125" customWidth="1"/>
    <col min="6913" max="6920" width="4.85546875" customWidth="1"/>
    <col min="6921" max="6921" width="39" customWidth="1"/>
    <col min="6922" max="6922" width="35" customWidth="1"/>
    <col min="6923" max="6923" width="33" customWidth="1"/>
    <col min="6924" max="6924" width="32.5703125" customWidth="1"/>
    <col min="6925" max="6925" width="5.140625" customWidth="1"/>
    <col min="6926" max="6926" width="30.7109375" customWidth="1"/>
    <col min="6927" max="6927" width="29" customWidth="1"/>
    <col min="6928" max="6928" width="42.42578125" customWidth="1"/>
    <col min="6929" max="6929" width="7" customWidth="1"/>
    <col min="6930" max="6930" width="28.5703125" customWidth="1"/>
    <col min="6931" max="6931" width="30.140625" customWidth="1"/>
    <col min="6932" max="6932" width="24.42578125" customWidth="1"/>
    <col min="7169" max="7176" width="4.85546875" customWidth="1"/>
    <col min="7177" max="7177" width="39" customWidth="1"/>
    <col min="7178" max="7178" width="35" customWidth="1"/>
    <col min="7179" max="7179" width="33" customWidth="1"/>
    <col min="7180" max="7180" width="32.5703125" customWidth="1"/>
    <col min="7181" max="7181" width="5.140625" customWidth="1"/>
    <col min="7182" max="7182" width="30.7109375" customWidth="1"/>
    <col min="7183" max="7183" width="29" customWidth="1"/>
    <col min="7184" max="7184" width="42.42578125" customWidth="1"/>
    <col min="7185" max="7185" width="7" customWidth="1"/>
    <col min="7186" max="7186" width="28.5703125" customWidth="1"/>
    <col min="7187" max="7187" width="30.140625" customWidth="1"/>
    <col min="7188" max="7188" width="24.42578125" customWidth="1"/>
    <col min="7425" max="7432" width="4.85546875" customWidth="1"/>
    <col min="7433" max="7433" width="39" customWidth="1"/>
    <col min="7434" max="7434" width="35" customWidth="1"/>
    <col min="7435" max="7435" width="33" customWidth="1"/>
    <col min="7436" max="7436" width="32.5703125" customWidth="1"/>
    <col min="7437" max="7437" width="5.140625" customWidth="1"/>
    <col min="7438" max="7438" width="30.7109375" customWidth="1"/>
    <col min="7439" max="7439" width="29" customWidth="1"/>
    <col min="7440" max="7440" width="42.42578125" customWidth="1"/>
    <col min="7441" max="7441" width="7" customWidth="1"/>
    <col min="7442" max="7442" width="28.5703125" customWidth="1"/>
    <col min="7443" max="7443" width="30.140625" customWidth="1"/>
    <col min="7444" max="7444" width="24.42578125" customWidth="1"/>
    <col min="7681" max="7688" width="4.85546875" customWidth="1"/>
    <col min="7689" max="7689" width="39" customWidth="1"/>
    <col min="7690" max="7690" width="35" customWidth="1"/>
    <col min="7691" max="7691" width="33" customWidth="1"/>
    <col min="7692" max="7692" width="32.5703125" customWidth="1"/>
    <col min="7693" max="7693" width="5.140625" customWidth="1"/>
    <col min="7694" max="7694" width="30.7109375" customWidth="1"/>
    <col min="7695" max="7695" width="29" customWidth="1"/>
    <col min="7696" max="7696" width="42.42578125" customWidth="1"/>
    <col min="7697" max="7697" width="7" customWidth="1"/>
    <col min="7698" max="7698" width="28.5703125" customWidth="1"/>
    <col min="7699" max="7699" width="30.140625" customWidth="1"/>
    <col min="7700" max="7700" width="24.42578125" customWidth="1"/>
    <col min="7937" max="7944" width="4.85546875" customWidth="1"/>
    <col min="7945" max="7945" width="39" customWidth="1"/>
    <col min="7946" max="7946" width="35" customWidth="1"/>
    <col min="7947" max="7947" width="33" customWidth="1"/>
    <col min="7948" max="7948" width="32.5703125" customWidth="1"/>
    <col min="7949" max="7949" width="5.140625" customWidth="1"/>
    <col min="7950" max="7950" width="30.7109375" customWidth="1"/>
    <col min="7951" max="7951" width="29" customWidth="1"/>
    <col min="7952" max="7952" width="42.42578125" customWidth="1"/>
    <col min="7953" max="7953" width="7" customWidth="1"/>
    <col min="7954" max="7954" width="28.5703125" customWidth="1"/>
    <col min="7955" max="7955" width="30.140625" customWidth="1"/>
    <col min="7956" max="7956" width="24.42578125" customWidth="1"/>
    <col min="8193" max="8200" width="4.85546875" customWidth="1"/>
    <col min="8201" max="8201" width="39" customWidth="1"/>
    <col min="8202" max="8202" width="35" customWidth="1"/>
    <col min="8203" max="8203" width="33" customWidth="1"/>
    <col min="8204" max="8204" width="32.5703125" customWidth="1"/>
    <col min="8205" max="8205" width="5.140625" customWidth="1"/>
    <col min="8206" max="8206" width="30.7109375" customWidth="1"/>
    <col min="8207" max="8207" width="29" customWidth="1"/>
    <col min="8208" max="8208" width="42.42578125" customWidth="1"/>
    <col min="8209" max="8209" width="7" customWidth="1"/>
    <col min="8210" max="8210" width="28.5703125" customWidth="1"/>
    <col min="8211" max="8211" width="30.140625" customWidth="1"/>
    <col min="8212" max="8212" width="24.42578125" customWidth="1"/>
    <col min="8449" max="8456" width="4.85546875" customWidth="1"/>
    <col min="8457" max="8457" width="39" customWidth="1"/>
    <col min="8458" max="8458" width="35" customWidth="1"/>
    <col min="8459" max="8459" width="33" customWidth="1"/>
    <col min="8460" max="8460" width="32.5703125" customWidth="1"/>
    <col min="8461" max="8461" width="5.140625" customWidth="1"/>
    <col min="8462" max="8462" width="30.7109375" customWidth="1"/>
    <col min="8463" max="8463" width="29" customWidth="1"/>
    <col min="8464" max="8464" width="42.42578125" customWidth="1"/>
    <col min="8465" max="8465" width="7" customWidth="1"/>
    <col min="8466" max="8466" width="28.5703125" customWidth="1"/>
    <col min="8467" max="8467" width="30.140625" customWidth="1"/>
    <col min="8468" max="8468" width="24.42578125" customWidth="1"/>
    <col min="8705" max="8712" width="4.85546875" customWidth="1"/>
    <col min="8713" max="8713" width="39" customWidth="1"/>
    <col min="8714" max="8714" width="35" customWidth="1"/>
    <col min="8715" max="8715" width="33" customWidth="1"/>
    <col min="8716" max="8716" width="32.5703125" customWidth="1"/>
    <col min="8717" max="8717" width="5.140625" customWidth="1"/>
    <col min="8718" max="8718" width="30.7109375" customWidth="1"/>
    <col min="8719" max="8719" width="29" customWidth="1"/>
    <col min="8720" max="8720" width="42.42578125" customWidth="1"/>
    <col min="8721" max="8721" width="7" customWidth="1"/>
    <col min="8722" max="8722" width="28.5703125" customWidth="1"/>
    <col min="8723" max="8723" width="30.140625" customWidth="1"/>
    <col min="8724" max="8724" width="24.42578125" customWidth="1"/>
    <col min="8961" max="8968" width="4.85546875" customWidth="1"/>
    <col min="8969" max="8969" width="39" customWidth="1"/>
    <col min="8970" max="8970" width="35" customWidth="1"/>
    <col min="8971" max="8971" width="33" customWidth="1"/>
    <col min="8972" max="8972" width="32.5703125" customWidth="1"/>
    <col min="8973" max="8973" width="5.140625" customWidth="1"/>
    <col min="8974" max="8974" width="30.7109375" customWidth="1"/>
    <col min="8975" max="8975" width="29" customWidth="1"/>
    <col min="8976" max="8976" width="42.42578125" customWidth="1"/>
    <col min="8977" max="8977" width="7" customWidth="1"/>
    <col min="8978" max="8978" width="28.5703125" customWidth="1"/>
    <col min="8979" max="8979" width="30.140625" customWidth="1"/>
    <col min="8980" max="8980" width="24.42578125" customWidth="1"/>
    <col min="9217" max="9224" width="4.85546875" customWidth="1"/>
    <col min="9225" max="9225" width="39" customWidth="1"/>
    <col min="9226" max="9226" width="35" customWidth="1"/>
    <col min="9227" max="9227" width="33" customWidth="1"/>
    <col min="9228" max="9228" width="32.5703125" customWidth="1"/>
    <col min="9229" max="9229" width="5.140625" customWidth="1"/>
    <col min="9230" max="9230" width="30.7109375" customWidth="1"/>
    <col min="9231" max="9231" width="29" customWidth="1"/>
    <col min="9232" max="9232" width="42.42578125" customWidth="1"/>
    <col min="9233" max="9233" width="7" customWidth="1"/>
    <col min="9234" max="9234" width="28.5703125" customWidth="1"/>
    <col min="9235" max="9235" width="30.140625" customWidth="1"/>
    <col min="9236" max="9236" width="24.42578125" customWidth="1"/>
    <col min="9473" max="9480" width="4.85546875" customWidth="1"/>
    <col min="9481" max="9481" width="39" customWidth="1"/>
    <col min="9482" max="9482" width="35" customWidth="1"/>
    <col min="9483" max="9483" width="33" customWidth="1"/>
    <col min="9484" max="9484" width="32.5703125" customWidth="1"/>
    <col min="9485" max="9485" width="5.140625" customWidth="1"/>
    <col min="9486" max="9486" width="30.7109375" customWidth="1"/>
    <col min="9487" max="9487" width="29" customWidth="1"/>
    <col min="9488" max="9488" width="42.42578125" customWidth="1"/>
    <col min="9489" max="9489" width="7" customWidth="1"/>
    <col min="9490" max="9490" width="28.5703125" customWidth="1"/>
    <col min="9491" max="9491" width="30.140625" customWidth="1"/>
    <col min="9492" max="9492" width="24.42578125" customWidth="1"/>
    <col min="9729" max="9736" width="4.85546875" customWidth="1"/>
    <col min="9737" max="9737" width="39" customWidth="1"/>
    <col min="9738" max="9738" width="35" customWidth="1"/>
    <col min="9739" max="9739" width="33" customWidth="1"/>
    <col min="9740" max="9740" width="32.5703125" customWidth="1"/>
    <col min="9741" max="9741" width="5.140625" customWidth="1"/>
    <col min="9742" max="9742" width="30.7109375" customWidth="1"/>
    <col min="9743" max="9743" width="29" customWidth="1"/>
    <col min="9744" max="9744" width="42.42578125" customWidth="1"/>
    <col min="9745" max="9745" width="7" customWidth="1"/>
    <col min="9746" max="9746" width="28.5703125" customWidth="1"/>
    <col min="9747" max="9747" width="30.140625" customWidth="1"/>
    <col min="9748" max="9748" width="24.42578125" customWidth="1"/>
    <col min="9985" max="9992" width="4.85546875" customWidth="1"/>
    <col min="9993" max="9993" width="39" customWidth="1"/>
    <col min="9994" max="9994" width="35" customWidth="1"/>
    <col min="9995" max="9995" width="33" customWidth="1"/>
    <col min="9996" max="9996" width="32.5703125" customWidth="1"/>
    <col min="9997" max="9997" width="5.140625" customWidth="1"/>
    <col min="9998" max="9998" width="30.7109375" customWidth="1"/>
    <col min="9999" max="9999" width="29" customWidth="1"/>
    <col min="10000" max="10000" width="42.42578125" customWidth="1"/>
    <col min="10001" max="10001" width="7" customWidth="1"/>
    <col min="10002" max="10002" width="28.5703125" customWidth="1"/>
    <col min="10003" max="10003" width="30.140625" customWidth="1"/>
    <col min="10004" max="10004" width="24.42578125" customWidth="1"/>
    <col min="10241" max="10248" width="4.85546875" customWidth="1"/>
    <col min="10249" max="10249" width="39" customWidth="1"/>
    <col min="10250" max="10250" width="35" customWidth="1"/>
    <col min="10251" max="10251" width="33" customWidth="1"/>
    <col min="10252" max="10252" width="32.5703125" customWidth="1"/>
    <col min="10253" max="10253" width="5.140625" customWidth="1"/>
    <col min="10254" max="10254" width="30.7109375" customWidth="1"/>
    <col min="10255" max="10255" width="29" customWidth="1"/>
    <col min="10256" max="10256" width="42.42578125" customWidth="1"/>
    <col min="10257" max="10257" width="7" customWidth="1"/>
    <col min="10258" max="10258" width="28.5703125" customWidth="1"/>
    <col min="10259" max="10259" width="30.140625" customWidth="1"/>
    <col min="10260" max="10260" width="24.42578125" customWidth="1"/>
    <col min="10497" max="10504" width="4.85546875" customWidth="1"/>
    <col min="10505" max="10505" width="39" customWidth="1"/>
    <col min="10506" max="10506" width="35" customWidth="1"/>
    <col min="10507" max="10507" width="33" customWidth="1"/>
    <col min="10508" max="10508" width="32.5703125" customWidth="1"/>
    <col min="10509" max="10509" width="5.140625" customWidth="1"/>
    <col min="10510" max="10510" width="30.7109375" customWidth="1"/>
    <col min="10511" max="10511" width="29" customWidth="1"/>
    <col min="10512" max="10512" width="42.42578125" customWidth="1"/>
    <col min="10513" max="10513" width="7" customWidth="1"/>
    <col min="10514" max="10514" width="28.5703125" customWidth="1"/>
    <col min="10515" max="10515" width="30.140625" customWidth="1"/>
    <col min="10516" max="10516" width="24.42578125" customWidth="1"/>
    <col min="10753" max="10760" width="4.85546875" customWidth="1"/>
    <col min="10761" max="10761" width="39" customWidth="1"/>
    <col min="10762" max="10762" width="35" customWidth="1"/>
    <col min="10763" max="10763" width="33" customWidth="1"/>
    <col min="10764" max="10764" width="32.5703125" customWidth="1"/>
    <col min="10765" max="10765" width="5.140625" customWidth="1"/>
    <col min="10766" max="10766" width="30.7109375" customWidth="1"/>
    <col min="10767" max="10767" width="29" customWidth="1"/>
    <col min="10768" max="10768" width="42.42578125" customWidth="1"/>
    <col min="10769" max="10769" width="7" customWidth="1"/>
    <col min="10770" max="10770" width="28.5703125" customWidth="1"/>
    <col min="10771" max="10771" width="30.140625" customWidth="1"/>
    <col min="10772" max="10772" width="24.42578125" customWidth="1"/>
    <col min="11009" max="11016" width="4.85546875" customWidth="1"/>
    <col min="11017" max="11017" width="39" customWidth="1"/>
    <col min="11018" max="11018" width="35" customWidth="1"/>
    <col min="11019" max="11019" width="33" customWidth="1"/>
    <col min="11020" max="11020" width="32.5703125" customWidth="1"/>
    <col min="11021" max="11021" width="5.140625" customWidth="1"/>
    <col min="11022" max="11022" width="30.7109375" customWidth="1"/>
    <col min="11023" max="11023" width="29" customWidth="1"/>
    <col min="11024" max="11024" width="42.42578125" customWidth="1"/>
    <col min="11025" max="11025" width="7" customWidth="1"/>
    <col min="11026" max="11026" width="28.5703125" customWidth="1"/>
    <col min="11027" max="11027" width="30.140625" customWidth="1"/>
    <col min="11028" max="11028" width="24.42578125" customWidth="1"/>
    <col min="11265" max="11272" width="4.85546875" customWidth="1"/>
    <col min="11273" max="11273" width="39" customWidth="1"/>
    <col min="11274" max="11274" width="35" customWidth="1"/>
    <col min="11275" max="11275" width="33" customWidth="1"/>
    <col min="11276" max="11276" width="32.5703125" customWidth="1"/>
    <col min="11277" max="11277" width="5.140625" customWidth="1"/>
    <col min="11278" max="11278" width="30.7109375" customWidth="1"/>
    <col min="11279" max="11279" width="29" customWidth="1"/>
    <col min="11280" max="11280" width="42.42578125" customWidth="1"/>
    <col min="11281" max="11281" width="7" customWidth="1"/>
    <col min="11282" max="11282" width="28.5703125" customWidth="1"/>
    <col min="11283" max="11283" width="30.140625" customWidth="1"/>
    <col min="11284" max="11284" width="24.42578125" customWidth="1"/>
    <col min="11521" max="11528" width="4.85546875" customWidth="1"/>
    <col min="11529" max="11529" width="39" customWidth="1"/>
    <col min="11530" max="11530" width="35" customWidth="1"/>
    <col min="11531" max="11531" width="33" customWidth="1"/>
    <col min="11532" max="11532" width="32.5703125" customWidth="1"/>
    <col min="11533" max="11533" width="5.140625" customWidth="1"/>
    <col min="11534" max="11534" width="30.7109375" customWidth="1"/>
    <col min="11535" max="11535" width="29" customWidth="1"/>
    <col min="11536" max="11536" width="42.42578125" customWidth="1"/>
    <col min="11537" max="11537" width="7" customWidth="1"/>
    <col min="11538" max="11538" width="28.5703125" customWidth="1"/>
    <col min="11539" max="11539" width="30.140625" customWidth="1"/>
    <col min="11540" max="11540" width="24.42578125" customWidth="1"/>
    <col min="11777" max="11784" width="4.85546875" customWidth="1"/>
    <col min="11785" max="11785" width="39" customWidth="1"/>
    <col min="11786" max="11786" width="35" customWidth="1"/>
    <col min="11787" max="11787" width="33" customWidth="1"/>
    <col min="11788" max="11788" width="32.5703125" customWidth="1"/>
    <col min="11789" max="11789" width="5.140625" customWidth="1"/>
    <col min="11790" max="11790" width="30.7109375" customWidth="1"/>
    <col min="11791" max="11791" width="29" customWidth="1"/>
    <col min="11792" max="11792" width="42.42578125" customWidth="1"/>
    <col min="11793" max="11793" width="7" customWidth="1"/>
    <col min="11794" max="11794" width="28.5703125" customWidth="1"/>
    <col min="11795" max="11795" width="30.140625" customWidth="1"/>
    <col min="11796" max="11796" width="24.42578125" customWidth="1"/>
    <col min="12033" max="12040" width="4.85546875" customWidth="1"/>
    <col min="12041" max="12041" width="39" customWidth="1"/>
    <col min="12042" max="12042" width="35" customWidth="1"/>
    <col min="12043" max="12043" width="33" customWidth="1"/>
    <col min="12044" max="12044" width="32.5703125" customWidth="1"/>
    <col min="12045" max="12045" width="5.140625" customWidth="1"/>
    <col min="12046" max="12046" width="30.7109375" customWidth="1"/>
    <col min="12047" max="12047" width="29" customWidth="1"/>
    <col min="12048" max="12048" width="42.42578125" customWidth="1"/>
    <col min="12049" max="12049" width="7" customWidth="1"/>
    <col min="12050" max="12050" width="28.5703125" customWidth="1"/>
    <col min="12051" max="12051" width="30.140625" customWidth="1"/>
    <col min="12052" max="12052" width="24.42578125" customWidth="1"/>
    <col min="12289" max="12296" width="4.85546875" customWidth="1"/>
    <col min="12297" max="12297" width="39" customWidth="1"/>
    <col min="12298" max="12298" width="35" customWidth="1"/>
    <col min="12299" max="12299" width="33" customWidth="1"/>
    <col min="12300" max="12300" width="32.5703125" customWidth="1"/>
    <col min="12301" max="12301" width="5.140625" customWidth="1"/>
    <col min="12302" max="12302" width="30.7109375" customWidth="1"/>
    <col min="12303" max="12303" width="29" customWidth="1"/>
    <col min="12304" max="12304" width="42.42578125" customWidth="1"/>
    <col min="12305" max="12305" width="7" customWidth="1"/>
    <col min="12306" max="12306" width="28.5703125" customWidth="1"/>
    <col min="12307" max="12307" width="30.140625" customWidth="1"/>
    <col min="12308" max="12308" width="24.42578125" customWidth="1"/>
    <col min="12545" max="12552" width="4.85546875" customWidth="1"/>
    <col min="12553" max="12553" width="39" customWidth="1"/>
    <col min="12554" max="12554" width="35" customWidth="1"/>
    <col min="12555" max="12555" width="33" customWidth="1"/>
    <col min="12556" max="12556" width="32.5703125" customWidth="1"/>
    <col min="12557" max="12557" width="5.140625" customWidth="1"/>
    <col min="12558" max="12558" width="30.7109375" customWidth="1"/>
    <col min="12559" max="12559" width="29" customWidth="1"/>
    <col min="12560" max="12560" width="42.42578125" customWidth="1"/>
    <col min="12561" max="12561" width="7" customWidth="1"/>
    <col min="12562" max="12562" width="28.5703125" customWidth="1"/>
    <col min="12563" max="12563" width="30.140625" customWidth="1"/>
    <col min="12564" max="12564" width="24.42578125" customWidth="1"/>
    <col min="12801" max="12808" width="4.85546875" customWidth="1"/>
    <col min="12809" max="12809" width="39" customWidth="1"/>
    <col min="12810" max="12810" width="35" customWidth="1"/>
    <col min="12811" max="12811" width="33" customWidth="1"/>
    <col min="12812" max="12812" width="32.5703125" customWidth="1"/>
    <col min="12813" max="12813" width="5.140625" customWidth="1"/>
    <col min="12814" max="12814" width="30.7109375" customWidth="1"/>
    <col min="12815" max="12815" width="29" customWidth="1"/>
    <col min="12816" max="12816" width="42.42578125" customWidth="1"/>
    <col min="12817" max="12817" width="7" customWidth="1"/>
    <col min="12818" max="12818" width="28.5703125" customWidth="1"/>
    <col min="12819" max="12819" width="30.140625" customWidth="1"/>
    <col min="12820" max="12820" width="24.42578125" customWidth="1"/>
    <col min="13057" max="13064" width="4.85546875" customWidth="1"/>
    <col min="13065" max="13065" width="39" customWidth="1"/>
    <col min="13066" max="13066" width="35" customWidth="1"/>
    <col min="13067" max="13067" width="33" customWidth="1"/>
    <col min="13068" max="13068" width="32.5703125" customWidth="1"/>
    <col min="13069" max="13069" width="5.140625" customWidth="1"/>
    <col min="13070" max="13070" width="30.7109375" customWidth="1"/>
    <col min="13071" max="13071" width="29" customWidth="1"/>
    <col min="13072" max="13072" width="42.42578125" customWidth="1"/>
    <col min="13073" max="13073" width="7" customWidth="1"/>
    <col min="13074" max="13074" width="28.5703125" customWidth="1"/>
    <col min="13075" max="13075" width="30.140625" customWidth="1"/>
    <col min="13076" max="13076" width="24.42578125" customWidth="1"/>
    <col min="13313" max="13320" width="4.85546875" customWidth="1"/>
    <col min="13321" max="13321" width="39" customWidth="1"/>
    <col min="13322" max="13322" width="35" customWidth="1"/>
    <col min="13323" max="13323" width="33" customWidth="1"/>
    <col min="13324" max="13324" width="32.5703125" customWidth="1"/>
    <col min="13325" max="13325" width="5.140625" customWidth="1"/>
    <col min="13326" max="13326" width="30.7109375" customWidth="1"/>
    <col min="13327" max="13327" width="29" customWidth="1"/>
    <col min="13328" max="13328" width="42.42578125" customWidth="1"/>
    <col min="13329" max="13329" width="7" customWidth="1"/>
    <col min="13330" max="13330" width="28.5703125" customWidth="1"/>
    <col min="13331" max="13331" width="30.140625" customWidth="1"/>
    <col min="13332" max="13332" width="24.42578125" customWidth="1"/>
    <col min="13569" max="13576" width="4.85546875" customWidth="1"/>
    <col min="13577" max="13577" width="39" customWidth="1"/>
    <col min="13578" max="13578" width="35" customWidth="1"/>
    <col min="13579" max="13579" width="33" customWidth="1"/>
    <col min="13580" max="13580" width="32.5703125" customWidth="1"/>
    <col min="13581" max="13581" width="5.140625" customWidth="1"/>
    <col min="13582" max="13582" width="30.7109375" customWidth="1"/>
    <col min="13583" max="13583" width="29" customWidth="1"/>
    <col min="13584" max="13584" width="42.42578125" customWidth="1"/>
    <col min="13585" max="13585" width="7" customWidth="1"/>
    <col min="13586" max="13586" width="28.5703125" customWidth="1"/>
    <col min="13587" max="13587" width="30.140625" customWidth="1"/>
    <col min="13588" max="13588" width="24.42578125" customWidth="1"/>
    <col min="13825" max="13832" width="4.85546875" customWidth="1"/>
    <col min="13833" max="13833" width="39" customWidth="1"/>
    <col min="13834" max="13834" width="35" customWidth="1"/>
    <col min="13835" max="13835" width="33" customWidth="1"/>
    <col min="13836" max="13836" width="32.5703125" customWidth="1"/>
    <col min="13837" max="13837" width="5.140625" customWidth="1"/>
    <col min="13838" max="13838" width="30.7109375" customWidth="1"/>
    <col min="13839" max="13839" width="29" customWidth="1"/>
    <col min="13840" max="13840" width="42.42578125" customWidth="1"/>
    <col min="13841" max="13841" width="7" customWidth="1"/>
    <col min="13842" max="13842" width="28.5703125" customWidth="1"/>
    <col min="13843" max="13843" width="30.140625" customWidth="1"/>
    <col min="13844" max="13844" width="24.42578125" customWidth="1"/>
    <col min="14081" max="14088" width="4.85546875" customWidth="1"/>
    <col min="14089" max="14089" width="39" customWidth="1"/>
    <col min="14090" max="14090" width="35" customWidth="1"/>
    <col min="14091" max="14091" width="33" customWidth="1"/>
    <col min="14092" max="14092" width="32.5703125" customWidth="1"/>
    <col min="14093" max="14093" width="5.140625" customWidth="1"/>
    <col min="14094" max="14094" width="30.7109375" customWidth="1"/>
    <col min="14095" max="14095" width="29" customWidth="1"/>
    <col min="14096" max="14096" width="42.42578125" customWidth="1"/>
    <col min="14097" max="14097" width="7" customWidth="1"/>
    <col min="14098" max="14098" width="28.5703125" customWidth="1"/>
    <col min="14099" max="14099" width="30.140625" customWidth="1"/>
    <col min="14100" max="14100" width="24.42578125" customWidth="1"/>
    <col min="14337" max="14344" width="4.85546875" customWidth="1"/>
    <col min="14345" max="14345" width="39" customWidth="1"/>
    <col min="14346" max="14346" width="35" customWidth="1"/>
    <col min="14347" max="14347" width="33" customWidth="1"/>
    <col min="14348" max="14348" width="32.5703125" customWidth="1"/>
    <col min="14349" max="14349" width="5.140625" customWidth="1"/>
    <col min="14350" max="14350" width="30.7109375" customWidth="1"/>
    <col min="14351" max="14351" width="29" customWidth="1"/>
    <col min="14352" max="14352" width="42.42578125" customWidth="1"/>
    <col min="14353" max="14353" width="7" customWidth="1"/>
    <col min="14354" max="14354" width="28.5703125" customWidth="1"/>
    <col min="14355" max="14355" width="30.140625" customWidth="1"/>
    <col min="14356" max="14356" width="24.42578125" customWidth="1"/>
    <col min="14593" max="14600" width="4.85546875" customWidth="1"/>
    <col min="14601" max="14601" width="39" customWidth="1"/>
    <col min="14602" max="14602" width="35" customWidth="1"/>
    <col min="14603" max="14603" width="33" customWidth="1"/>
    <col min="14604" max="14604" width="32.5703125" customWidth="1"/>
    <col min="14605" max="14605" width="5.140625" customWidth="1"/>
    <col min="14606" max="14606" width="30.7109375" customWidth="1"/>
    <col min="14607" max="14607" width="29" customWidth="1"/>
    <col min="14608" max="14608" width="42.42578125" customWidth="1"/>
    <col min="14609" max="14609" width="7" customWidth="1"/>
    <col min="14610" max="14610" width="28.5703125" customWidth="1"/>
    <col min="14611" max="14611" width="30.140625" customWidth="1"/>
    <col min="14612" max="14612" width="24.42578125" customWidth="1"/>
    <col min="14849" max="14856" width="4.85546875" customWidth="1"/>
    <col min="14857" max="14857" width="39" customWidth="1"/>
    <col min="14858" max="14858" width="35" customWidth="1"/>
    <col min="14859" max="14859" width="33" customWidth="1"/>
    <col min="14860" max="14860" width="32.5703125" customWidth="1"/>
    <col min="14861" max="14861" width="5.140625" customWidth="1"/>
    <col min="14862" max="14862" width="30.7109375" customWidth="1"/>
    <col min="14863" max="14863" width="29" customWidth="1"/>
    <col min="14864" max="14864" width="42.42578125" customWidth="1"/>
    <col min="14865" max="14865" width="7" customWidth="1"/>
    <col min="14866" max="14866" width="28.5703125" customWidth="1"/>
    <col min="14867" max="14867" width="30.140625" customWidth="1"/>
    <col min="14868" max="14868" width="24.42578125" customWidth="1"/>
    <col min="15105" max="15112" width="4.85546875" customWidth="1"/>
    <col min="15113" max="15113" width="39" customWidth="1"/>
    <col min="15114" max="15114" width="35" customWidth="1"/>
    <col min="15115" max="15115" width="33" customWidth="1"/>
    <col min="15116" max="15116" width="32.5703125" customWidth="1"/>
    <col min="15117" max="15117" width="5.140625" customWidth="1"/>
    <col min="15118" max="15118" width="30.7109375" customWidth="1"/>
    <col min="15119" max="15119" width="29" customWidth="1"/>
    <col min="15120" max="15120" width="42.42578125" customWidth="1"/>
    <col min="15121" max="15121" width="7" customWidth="1"/>
    <col min="15122" max="15122" width="28.5703125" customWidth="1"/>
    <col min="15123" max="15123" width="30.140625" customWidth="1"/>
    <col min="15124" max="15124" width="24.42578125" customWidth="1"/>
    <col min="15361" max="15368" width="4.85546875" customWidth="1"/>
    <col min="15369" max="15369" width="39" customWidth="1"/>
    <col min="15370" max="15370" width="35" customWidth="1"/>
    <col min="15371" max="15371" width="33" customWidth="1"/>
    <col min="15372" max="15372" width="32.5703125" customWidth="1"/>
    <col min="15373" max="15373" width="5.140625" customWidth="1"/>
    <col min="15374" max="15374" width="30.7109375" customWidth="1"/>
    <col min="15375" max="15375" width="29" customWidth="1"/>
    <col min="15376" max="15376" width="42.42578125" customWidth="1"/>
    <col min="15377" max="15377" width="7" customWidth="1"/>
    <col min="15378" max="15378" width="28.5703125" customWidth="1"/>
    <col min="15379" max="15379" width="30.140625" customWidth="1"/>
    <col min="15380" max="15380" width="24.42578125" customWidth="1"/>
    <col min="15617" max="15624" width="4.85546875" customWidth="1"/>
    <col min="15625" max="15625" width="39" customWidth="1"/>
    <col min="15626" max="15626" width="35" customWidth="1"/>
    <col min="15627" max="15627" width="33" customWidth="1"/>
    <col min="15628" max="15628" width="32.5703125" customWidth="1"/>
    <col min="15629" max="15629" width="5.140625" customWidth="1"/>
    <col min="15630" max="15630" width="30.7109375" customWidth="1"/>
    <col min="15631" max="15631" width="29" customWidth="1"/>
    <col min="15632" max="15632" width="42.42578125" customWidth="1"/>
    <col min="15633" max="15633" width="7" customWidth="1"/>
    <col min="15634" max="15634" width="28.5703125" customWidth="1"/>
    <col min="15635" max="15635" width="30.140625" customWidth="1"/>
    <col min="15636" max="15636" width="24.42578125" customWidth="1"/>
    <col min="15873" max="15880" width="4.85546875" customWidth="1"/>
    <col min="15881" max="15881" width="39" customWidth="1"/>
    <col min="15882" max="15882" width="35" customWidth="1"/>
    <col min="15883" max="15883" width="33" customWidth="1"/>
    <col min="15884" max="15884" width="32.5703125" customWidth="1"/>
    <col min="15885" max="15885" width="5.140625" customWidth="1"/>
    <col min="15886" max="15886" width="30.7109375" customWidth="1"/>
    <col min="15887" max="15887" width="29" customWidth="1"/>
    <col min="15888" max="15888" width="42.42578125" customWidth="1"/>
    <col min="15889" max="15889" width="7" customWidth="1"/>
    <col min="15890" max="15890" width="28.5703125" customWidth="1"/>
    <col min="15891" max="15891" width="30.140625" customWidth="1"/>
    <col min="15892" max="15892" width="24.42578125" customWidth="1"/>
    <col min="16129" max="16136" width="4.85546875" customWidth="1"/>
    <col min="16137" max="16137" width="39" customWidth="1"/>
    <col min="16138" max="16138" width="35" customWidth="1"/>
    <col min="16139" max="16139" width="33" customWidth="1"/>
    <col min="16140" max="16140" width="32.5703125" customWidth="1"/>
    <col min="16141" max="16141" width="5.140625" customWidth="1"/>
    <col min="16142" max="16142" width="30.7109375" customWidth="1"/>
    <col min="16143" max="16143" width="29" customWidth="1"/>
    <col min="16144" max="16144" width="42.42578125" customWidth="1"/>
    <col min="16145" max="16145" width="7" customWidth="1"/>
    <col min="16146" max="16146" width="28.5703125" customWidth="1"/>
    <col min="16147" max="16147" width="30.140625" customWidth="1"/>
    <col min="16148" max="16148" width="24.42578125" customWidth="1"/>
  </cols>
  <sheetData>
    <row r="1" spans="1:23" ht="25.5" customHeight="1" x14ac:dyDescent="0.35">
      <c r="A1" s="838" t="s">
        <v>1226</v>
      </c>
      <c r="B1" s="838"/>
      <c r="C1" s="838"/>
      <c r="D1" s="838"/>
      <c r="E1" s="838"/>
      <c r="F1" s="838"/>
      <c r="G1" s="838"/>
      <c r="H1" s="838"/>
      <c r="I1" s="838"/>
      <c r="J1" s="837" t="s">
        <v>311</v>
      </c>
      <c r="K1" s="837"/>
      <c r="L1" s="740"/>
      <c r="M1" s="96"/>
      <c r="N1" s="841" t="s">
        <v>315</v>
      </c>
      <c r="O1" s="841"/>
      <c r="P1" s="841"/>
      <c r="R1" s="842" t="s">
        <v>436</v>
      </c>
      <c r="S1" s="843"/>
      <c r="T1" s="108"/>
      <c r="V1" s="840" t="s">
        <v>312</v>
      </c>
      <c r="W1" s="840"/>
    </row>
    <row r="2" spans="1:23" ht="40.5" customHeight="1" x14ac:dyDescent="0.25">
      <c r="A2" s="839" t="s">
        <v>255</v>
      </c>
      <c r="B2" s="839"/>
      <c r="C2" s="839"/>
      <c r="D2" s="839"/>
      <c r="E2" s="839"/>
      <c r="F2" s="839"/>
      <c r="G2" s="839"/>
      <c r="H2" s="839"/>
      <c r="I2" s="839"/>
      <c r="J2" s="111" t="s">
        <v>229</v>
      </c>
      <c r="K2" s="111" t="s">
        <v>230</v>
      </c>
      <c r="L2" s="111" t="s">
        <v>231</v>
      </c>
      <c r="M2" s="95"/>
      <c r="N2" s="94" t="s">
        <v>229</v>
      </c>
      <c r="O2" s="94" t="s">
        <v>230</v>
      </c>
      <c r="P2" s="94" t="s">
        <v>231</v>
      </c>
      <c r="Q2" s="117"/>
      <c r="R2" s="107" t="s">
        <v>229</v>
      </c>
      <c r="S2" s="107" t="s">
        <v>230</v>
      </c>
      <c r="T2" s="106" t="s">
        <v>231</v>
      </c>
      <c r="V2" s="97" t="s">
        <v>229</v>
      </c>
      <c r="W2" s="97" t="s">
        <v>230</v>
      </c>
    </row>
    <row r="3" spans="1:23" ht="46.15" customHeight="1" x14ac:dyDescent="0.35">
      <c r="A3" s="38">
        <v>1</v>
      </c>
      <c r="B3" s="38">
        <v>0</v>
      </c>
      <c r="C3" s="38">
        <v>2</v>
      </c>
      <c r="D3" s="38">
        <v>12</v>
      </c>
      <c r="E3" s="38"/>
      <c r="F3" s="38" t="s">
        <v>147</v>
      </c>
      <c r="G3" s="38">
        <v>10</v>
      </c>
      <c r="H3" s="161"/>
      <c r="I3" s="162" t="s">
        <v>354</v>
      </c>
      <c r="J3" s="112">
        <f>260000000+5300000</f>
        <v>265300000</v>
      </c>
      <c r="K3" s="179"/>
      <c r="L3" s="112"/>
      <c r="M3" s="113"/>
      <c r="N3" s="52"/>
      <c r="O3" s="52"/>
      <c r="P3" s="114"/>
      <c r="Q3" s="118"/>
      <c r="R3" s="52"/>
      <c r="S3" s="52"/>
      <c r="T3" s="115"/>
      <c r="V3" s="98"/>
      <c r="W3" s="99"/>
    </row>
    <row r="4" spans="1:23" ht="46.15" customHeight="1" x14ac:dyDescent="0.35">
      <c r="A4" s="210">
        <v>2</v>
      </c>
      <c r="B4" s="210">
        <v>0</v>
      </c>
      <c r="C4" s="210">
        <v>3</v>
      </c>
      <c r="D4" s="211">
        <v>50</v>
      </c>
      <c r="E4" s="211">
        <v>3</v>
      </c>
      <c r="F4" s="38" t="s">
        <v>147</v>
      </c>
      <c r="G4" s="211"/>
      <c r="H4" s="211"/>
      <c r="I4" s="36" t="s">
        <v>359</v>
      </c>
      <c r="J4" s="112">
        <v>8500000</v>
      </c>
      <c r="K4" s="179"/>
      <c r="L4" s="112"/>
      <c r="M4" s="113"/>
      <c r="N4" s="52"/>
      <c r="O4" s="52"/>
      <c r="P4" s="114"/>
      <c r="Q4" s="118"/>
      <c r="R4" s="52"/>
      <c r="S4" s="52"/>
      <c r="T4" s="115"/>
      <c r="V4" s="98"/>
      <c r="W4" s="99"/>
    </row>
    <row r="5" spans="1:23" ht="46.15" customHeight="1" x14ac:dyDescent="0.35">
      <c r="A5" s="38">
        <v>2</v>
      </c>
      <c r="B5" s="38">
        <v>0</v>
      </c>
      <c r="C5" s="38">
        <v>4</v>
      </c>
      <c r="D5" s="38">
        <v>1</v>
      </c>
      <c r="E5" s="38">
        <v>8</v>
      </c>
      <c r="F5" s="38" t="s">
        <v>147</v>
      </c>
      <c r="G5" s="25">
        <v>10</v>
      </c>
      <c r="H5" s="25" t="s">
        <v>88</v>
      </c>
      <c r="I5" s="42" t="s">
        <v>365</v>
      </c>
      <c r="J5" s="112"/>
      <c r="K5" s="179">
        <v>20100403</v>
      </c>
      <c r="L5" s="112"/>
      <c r="M5" s="113"/>
      <c r="N5" s="52"/>
      <c r="O5" s="52"/>
      <c r="P5" s="114"/>
      <c r="Q5" s="118"/>
      <c r="R5" s="52"/>
      <c r="S5" s="52"/>
      <c r="T5" s="115"/>
      <c r="V5" s="98"/>
      <c r="W5" s="99"/>
    </row>
    <row r="6" spans="1:23" ht="46.15" customHeight="1" x14ac:dyDescent="0.35">
      <c r="A6" s="38">
        <v>2</v>
      </c>
      <c r="B6" s="38">
        <v>0</v>
      </c>
      <c r="C6" s="38">
        <v>4</v>
      </c>
      <c r="D6" s="38">
        <v>4</v>
      </c>
      <c r="E6" s="38">
        <v>15</v>
      </c>
      <c r="F6" s="38" t="s">
        <v>147</v>
      </c>
      <c r="G6" s="25">
        <v>10</v>
      </c>
      <c r="H6" s="25" t="s">
        <v>88</v>
      </c>
      <c r="I6" s="42" t="s">
        <v>155</v>
      </c>
      <c r="J6" s="112"/>
      <c r="K6" s="179">
        <v>9000000</v>
      </c>
      <c r="L6" s="112"/>
      <c r="M6" s="113"/>
      <c r="N6" s="52"/>
      <c r="O6" s="52"/>
      <c r="P6" s="114"/>
      <c r="Q6" s="118"/>
      <c r="R6" s="52"/>
      <c r="S6" s="52"/>
      <c r="T6" s="115"/>
      <c r="V6" s="98"/>
      <c r="W6" s="99"/>
    </row>
    <row r="7" spans="1:23" ht="34.15" customHeight="1" x14ac:dyDescent="0.35">
      <c r="A7" s="38">
        <v>2</v>
      </c>
      <c r="B7" s="38">
        <v>0</v>
      </c>
      <c r="C7" s="38">
        <v>4</v>
      </c>
      <c r="D7" s="38">
        <v>5</v>
      </c>
      <c r="E7" s="38">
        <v>1</v>
      </c>
      <c r="F7" s="38" t="s">
        <v>147</v>
      </c>
      <c r="G7" s="25">
        <v>10</v>
      </c>
      <c r="H7" s="25" t="s">
        <v>88</v>
      </c>
      <c r="I7" s="42" t="s">
        <v>375</v>
      </c>
      <c r="J7" s="52"/>
      <c r="K7" s="179">
        <v>37020000</v>
      </c>
      <c r="L7" s="112"/>
      <c r="M7" s="113"/>
      <c r="N7" s="52"/>
      <c r="O7" s="52"/>
      <c r="P7" s="114"/>
      <c r="Q7" s="118"/>
      <c r="R7" s="52"/>
      <c r="S7" s="52"/>
      <c r="T7" s="115"/>
      <c r="V7" s="98"/>
      <c r="W7" s="99"/>
    </row>
    <row r="8" spans="1:23" ht="45" customHeight="1" x14ac:dyDescent="0.35">
      <c r="A8" s="38">
        <v>2</v>
      </c>
      <c r="B8" s="38">
        <v>0</v>
      </c>
      <c r="C8" s="38">
        <v>4</v>
      </c>
      <c r="D8" s="38">
        <v>5</v>
      </c>
      <c r="E8" s="38">
        <v>2</v>
      </c>
      <c r="F8" s="38" t="s">
        <v>147</v>
      </c>
      <c r="G8" s="25">
        <v>10</v>
      </c>
      <c r="H8" s="25" t="s">
        <v>88</v>
      </c>
      <c r="I8" s="42" t="s">
        <v>185</v>
      </c>
      <c r="J8" s="52"/>
      <c r="K8" s="179">
        <v>5035527</v>
      </c>
      <c r="L8" s="112"/>
      <c r="M8" s="113"/>
      <c r="N8" s="52"/>
      <c r="O8" s="52"/>
      <c r="P8" s="114"/>
      <c r="Q8" s="118"/>
      <c r="R8" s="52"/>
      <c r="S8" s="52"/>
      <c r="T8" s="115"/>
      <c r="V8" s="98"/>
      <c r="W8" s="99"/>
    </row>
    <row r="9" spans="1:23" ht="40.9" customHeight="1" x14ac:dyDescent="0.35">
      <c r="A9" s="38">
        <v>2</v>
      </c>
      <c r="B9" s="38">
        <v>0</v>
      </c>
      <c r="C9" s="38">
        <v>4</v>
      </c>
      <c r="D9" s="38">
        <v>6</v>
      </c>
      <c r="E9" s="38">
        <v>5</v>
      </c>
      <c r="F9" s="38" t="s">
        <v>147</v>
      </c>
      <c r="G9" s="25">
        <v>10</v>
      </c>
      <c r="H9" s="25" t="s">
        <v>88</v>
      </c>
      <c r="I9" s="42" t="s">
        <v>120</v>
      </c>
      <c r="J9" s="582"/>
      <c r="K9" s="179">
        <v>205644070</v>
      </c>
      <c r="L9" s="116"/>
      <c r="M9" s="583"/>
      <c r="N9" s="585">
        <f>SUM(N3:N8)</f>
        <v>0</v>
      </c>
      <c r="O9" s="585">
        <f>SUM(O3:O8)</f>
        <v>0</v>
      </c>
      <c r="P9" s="584"/>
      <c r="Q9" s="583"/>
      <c r="R9" s="586">
        <f t="shared" ref="R9:T10" si="0">SUM(R3:R8)</f>
        <v>0</v>
      </c>
      <c r="S9" s="586">
        <f t="shared" si="0"/>
        <v>0</v>
      </c>
      <c r="T9" s="108">
        <f t="shared" si="0"/>
        <v>0</v>
      </c>
    </row>
    <row r="10" spans="1:23" ht="33.75" customHeight="1" x14ac:dyDescent="0.35">
      <c r="A10" s="38">
        <v>2</v>
      </c>
      <c r="B10" s="38">
        <v>0</v>
      </c>
      <c r="C10" s="38">
        <v>4</v>
      </c>
      <c r="D10" s="38">
        <v>9</v>
      </c>
      <c r="E10" s="38">
        <v>8</v>
      </c>
      <c r="F10" s="38" t="s">
        <v>147</v>
      </c>
      <c r="G10" s="25">
        <v>10</v>
      </c>
      <c r="H10" s="25" t="s">
        <v>88</v>
      </c>
      <c r="I10" s="42" t="s">
        <v>391</v>
      </c>
      <c r="J10" s="112">
        <v>3000000</v>
      </c>
      <c r="K10" s="112"/>
      <c r="L10" s="116"/>
      <c r="M10" s="583"/>
      <c r="N10" s="585">
        <f>SUM(N4:N9)</f>
        <v>0</v>
      </c>
      <c r="O10" s="585">
        <f>SUM(O4:O9)</f>
        <v>0</v>
      </c>
      <c r="P10" s="584"/>
      <c r="Q10" s="583"/>
      <c r="R10" s="586">
        <f t="shared" si="0"/>
        <v>0</v>
      </c>
      <c r="S10" s="586">
        <f t="shared" si="0"/>
        <v>0</v>
      </c>
      <c r="T10" s="108">
        <f t="shared" si="0"/>
        <v>0</v>
      </c>
    </row>
    <row r="11" spans="1:23" ht="33.75" customHeight="1" x14ac:dyDescent="0.35">
      <c r="A11" s="794" t="s">
        <v>626</v>
      </c>
      <c r="B11" s="795"/>
      <c r="C11" s="795"/>
      <c r="D11" s="795"/>
      <c r="E11" s="795"/>
      <c r="F11" s="795"/>
      <c r="G11" s="795"/>
      <c r="H11" s="795"/>
      <c r="I11" s="796"/>
      <c r="J11" s="112">
        <f>SUM(J3:J10)</f>
        <v>276800000</v>
      </c>
      <c r="K11" s="112">
        <f>SUM(K3:K10)</f>
        <v>276800000</v>
      </c>
      <c r="L11" s="116"/>
      <c r="M11" s="583"/>
      <c r="N11" s="585">
        <f>SUM(N8:N10)</f>
        <v>0</v>
      </c>
      <c r="O11" s="585">
        <f>SUM(O8:O10)</f>
        <v>0</v>
      </c>
      <c r="P11" s="584"/>
      <c r="Q11" s="583"/>
      <c r="R11" s="586">
        <f>SUM(R8:R10)</f>
        <v>0</v>
      </c>
      <c r="S11" s="586">
        <f>SUM(S8:S10)</f>
        <v>0</v>
      </c>
      <c r="T11" s="108">
        <f>SUM(T8:T10)</f>
        <v>0</v>
      </c>
    </row>
  </sheetData>
  <mergeCells count="7">
    <mergeCell ref="A11:I11"/>
    <mergeCell ref="J1:K1"/>
    <mergeCell ref="A1:I1"/>
    <mergeCell ref="A2:I2"/>
    <mergeCell ref="V1:W1"/>
    <mergeCell ref="N1:P1"/>
    <mergeCell ref="R1:S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W131"/>
  <sheetViews>
    <sheetView showGridLines="0" topLeftCell="A4" zoomScale="40" zoomScaleNormal="40" zoomScaleSheetLayoutView="53" zoomScalePageLayoutView="50" workbookViewId="0">
      <pane xSplit="13" ySplit="2" topLeftCell="T95" activePane="bottomRight" state="frozen"/>
      <selection activeCell="A4" sqref="A4"/>
      <selection pane="topRight" activeCell="N4" sqref="N4"/>
      <selection pane="bottomLeft" activeCell="A6" sqref="A6"/>
      <selection pane="bottomRight" activeCell="AB114" sqref="AB114"/>
    </sheetView>
  </sheetViews>
  <sheetFormatPr baseColWidth="10" defaultColWidth="11.42578125" defaultRowHeight="23.25" x14ac:dyDescent="0.35"/>
  <cols>
    <col min="1" max="1" width="3.85546875" style="10" customWidth="1"/>
    <col min="2" max="2" width="8.5703125" style="10" customWidth="1"/>
    <col min="3" max="3" width="8.140625" style="10" customWidth="1"/>
    <col min="4" max="7" width="3.85546875" style="10" customWidth="1"/>
    <col min="8" max="8" width="12.42578125" style="10" customWidth="1"/>
    <col min="9" max="9" width="3.85546875" style="10" customWidth="1"/>
    <col min="10" max="10" width="45.7109375" style="10" customWidth="1"/>
    <col min="11" max="11" width="17.5703125" style="10" hidden="1" customWidth="1"/>
    <col min="12" max="12" width="18.5703125" style="10" hidden="1" customWidth="1"/>
    <col min="13" max="13" width="19.42578125" style="10" hidden="1" customWidth="1"/>
    <col min="14" max="14" width="35.42578125" style="10" customWidth="1"/>
    <col min="15" max="15" width="29.28515625" style="10" customWidth="1"/>
    <col min="16" max="16" width="28.85546875" style="10" customWidth="1"/>
    <col min="17" max="17" width="37" style="10" customWidth="1"/>
    <col min="18" max="18" width="23.5703125" style="10" customWidth="1"/>
    <col min="19" max="19" width="24.42578125" style="10" customWidth="1"/>
    <col min="20" max="20" width="23" style="10" customWidth="1"/>
    <col min="21" max="21" width="26.85546875" style="10" customWidth="1"/>
    <col min="22" max="22" width="32.42578125" style="10" customWidth="1"/>
    <col min="23" max="23" width="34.140625" style="10" customWidth="1"/>
    <col min="24" max="24" width="29" style="569" customWidth="1"/>
    <col min="25" max="25" width="25" style="10" customWidth="1"/>
    <col min="26" max="26" width="36.28515625" style="10" customWidth="1"/>
    <col min="27" max="27" width="36.140625" style="10" customWidth="1"/>
    <col min="28" max="28" width="35.42578125" style="10" customWidth="1"/>
    <col min="29" max="29" width="25.5703125" style="10" hidden="1" customWidth="1"/>
    <col min="30" max="30" width="35.28515625" style="10" customWidth="1"/>
    <col min="31" max="31" width="32.85546875" style="10" customWidth="1"/>
    <col min="32" max="32" width="34.7109375" style="10" customWidth="1"/>
    <col min="33" max="33" width="33" style="120" customWidth="1"/>
    <col min="34" max="34" width="22.5703125" style="121" customWidth="1"/>
    <col min="35" max="35" width="24.42578125" style="10" hidden="1" customWidth="1"/>
    <col min="36" max="36" width="97.42578125" style="122" hidden="1" customWidth="1"/>
    <col min="37" max="37" width="8" style="10" hidden="1" customWidth="1"/>
    <col min="38" max="38" width="24.85546875" style="121" customWidth="1"/>
    <col min="39" max="39" width="3" style="123" customWidth="1"/>
    <col min="40" max="40" width="28.7109375" style="10" hidden="1" customWidth="1"/>
    <col min="41" max="41" width="33.28515625" style="10" customWidth="1"/>
    <col min="42" max="42" width="44.5703125" style="124" customWidth="1"/>
    <col min="43" max="43" width="41.85546875" style="124" customWidth="1"/>
    <col min="44" max="44" width="30.42578125" style="125" customWidth="1"/>
    <col min="45" max="45" width="13.85546875" style="10" customWidth="1"/>
    <col min="46" max="46" width="39.42578125" style="10" customWidth="1"/>
    <col min="47" max="47" width="32.42578125" style="126" customWidth="1"/>
    <col min="48" max="48" width="34.140625" style="10" customWidth="1"/>
    <col min="49" max="49" width="26.7109375" style="10" customWidth="1"/>
    <col min="50" max="256" width="11.42578125" style="10"/>
    <col min="257" max="257" width="3.85546875" style="10" customWidth="1"/>
    <col min="258" max="258" width="8.5703125" style="10" customWidth="1"/>
    <col min="259" max="259" width="8.140625" style="10" customWidth="1"/>
    <col min="260" max="263" width="3.85546875" style="10" customWidth="1"/>
    <col min="264" max="264" width="12.42578125" style="10" customWidth="1"/>
    <col min="265" max="265" width="3.85546875" style="10" customWidth="1"/>
    <col min="266" max="266" width="45.7109375" style="10" customWidth="1"/>
    <col min="267" max="269" width="0" style="10" hidden="1" customWidth="1"/>
    <col min="270" max="270" width="35.42578125" style="10" customWidth="1"/>
    <col min="271" max="271" width="25.85546875" style="10" customWidth="1"/>
    <col min="272" max="272" width="28.85546875" style="10" customWidth="1"/>
    <col min="273" max="273" width="30.42578125" style="10" customWidth="1"/>
    <col min="274" max="274" width="23.5703125" style="10" customWidth="1"/>
    <col min="275" max="275" width="24.42578125" style="10" customWidth="1"/>
    <col min="276" max="276" width="23" style="10" customWidth="1"/>
    <col min="277" max="277" width="26.85546875" style="10" customWidth="1"/>
    <col min="278" max="278" width="29" style="10" customWidth="1"/>
    <col min="279" max="279" width="34.140625" style="10" customWidth="1"/>
    <col min="280" max="280" width="29" style="10" customWidth="1"/>
    <col min="281" max="281" width="25" style="10" customWidth="1"/>
    <col min="282" max="282" width="36.28515625" style="10" customWidth="1"/>
    <col min="283" max="283" width="36.140625" style="10" customWidth="1"/>
    <col min="284" max="284" width="31.5703125" style="10" customWidth="1"/>
    <col min="285" max="285" width="0" style="10" hidden="1" customWidth="1"/>
    <col min="286" max="286" width="35.28515625" style="10" customWidth="1"/>
    <col min="287" max="287" width="31" style="10" customWidth="1"/>
    <col min="288" max="288" width="34.7109375" style="10" customWidth="1"/>
    <col min="289" max="289" width="31.42578125" style="10" customWidth="1"/>
    <col min="290" max="290" width="22.5703125" style="10" customWidth="1"/>
    <col min="291" max="294" width="0" style="10" hidden="1" customWidth="1"/>
    <col min="295" max="295" width="3" style="10" customWidth="1"/>
    <col min="296" max="296" width="26.85546875" style="10" customWidth="1"/>
    <col min="297" max="297" width="29.85546875" style="10" customWidth="1"/>
    <col min="298" max="298" width="32.7109375" style="10" customWidth="1"/>
    <col min="299" max="299" width="34.85546875" style="10" customWidth="1"/>
    <col min="300" max="300" width="30.42578125" style="10" customWidth="1"/>
    <col min="301" max="301" width="13.85546875" style="10" customWidth="1"/>
    <col min="302" max="302" width="39.42578125" style="10" customWidth="1"/>
    <col min="303" max="303" width="23.5703125" style="10" customWidth="1"/>
    <col min="304" max="512" width="11.42578125" style="10"/>
    <col min="513" max="513" width="3.85546875" style="10" customWidth="1"/>
    <col min="514" max="514" width="8.5703125" style="10" customWidth="1"/>
    <col min="515" max="515" width="8.140625" style="10" customWidth="1"/>
    <col min="516" max="519" width="3.85546875" style="10" customWidth="1"/>
    <col min="520" max="520" width="12.42578125" style="10" customWidth="1"/>
    <col min="521" max="521" width="3.85546875" style="10" customWidth="1"/>
    <col min="522" max="522" width="45.7109375" style="10" customWidth="1"/>
    <col min="523" max="525" width="0" style="10" hidden="1" customWidth="1"/>
    <col min="526" max="526" width="35.42578125" style="10" customWidth="1"/>
    <col min="527" max="527" width="25.85546875" style="10" customWidth="1"/>
    <col min="528" max="528" width="28.85546875" style="10" customWidth="1"/>
    <col min="529" max="529" width="30.42578125" style="10" customWidth="1"/>
    <col min="530" max="530" width="23.5703125" style="10" customWidth="1"/>
    <col min="531" max="531" width="24.42578125" style="10" customWidth="1"/>
    <col min="532" max="532" width="23" style="10" customWidth="1"/>
    <col min="533" max="533" width="26.85546875" style="10" customWidth="1"/>
    <col min="534" max="534" width="29" style="10" customWidth="1"/>
    <col min="535" max="535" width="34.140625" style="10" customWidth="1"/>
    <col min="536" max="536" width="29" style="10" customWidth="1"/>
    <col min="537" max="537" width="25" style="10" customWidth="1"/>
    <col min="538" max="538" width="36.28515625" style="10" customWidth="1"/>
    <col min="539" max="539" width="36.140625" style="10" customWidth="1"/>
    <col min="540" max="540" width="31.5703125" style="10" customWidth="1"/>
    <col min="541" max="541" width="0" style="10" hidden="1" customWidth="1"/>
    <col min="542" max="542" width="35.28515625" style="10" customWidth="1"/>
    <col min="543" max="543" width="31" style="10" customWidth="1"/>
    <col min="544" max="544" width="34.7109375" style="10" customWidth="1"/>
    <col min="545" max="545" width="31.42578125" style="10" customWidth="1"/>
    <col min="546" max="546" width="22.5703125" style="10" customWidth="1"/>
    <col min="547" max="550" width="0" style="10" hidden="1" customWidth="1"/>
    <col min="551" max="551" width="3" style="10" customWidth="1"/>
    <col min="552" max="552" width="26.85546875" style="10" customWidth="1"/>
    <col min="553" max="553" width="29.85546875" style="10" customWidth="1"/>
    <col min="554" max="554" width="32.7109375" style="10" customWidth="1"/>
    <col min="555" max="555" width="34.85546875" style="10" customWidth="1"/>
    <col min="556" max="556" width="30.42578125" style="10" customWidth="1"/>
    <col min="557" max="557" width="13.85546875" style="10" customWidth="1"/>
    <col min="558" max="558" width="39.42578125" style="10" customWidth="1"/>
    <col min="559" max="559" width="23.5703125" style="10" customWidth="1"/>
    <col min="560" max="768" width="11.42578125" style="10"/>
    <col min="769" max="769" width="3.85546875" style="10" customWidth="1"/>
    <col min="770" max="770" width="8.5703125" style="10" customWidth="1"/>
    <col min="771" max="771" width="8.140625" style="10" customWidth="1"/>
    <col min="772" max="775" width="3.85546875" style="10" customWidth="1"/>
    <col min="776" max="776" width="12.42578125" style="10" customWidth="1"/>
    <col min="777" max="777" width="3.85546875" style="10" customWidth="1"/>
    <col min="778" max="778" width="45.7109375" style="10" customWidth="1"/>
    <col min="779" max="781" width="0" style="10" hidden="1" customWidth="1"/>
    <col min="782" max="782" width="35.42578125" style="10" customWidth="1"/>
    <col min="783" max="783" width="25.85546875" style="10" customWidth="1"/>
    <col min="784" max="784" width="28.85546875" style="10" customWidth="1"/>
    <col min="785" max="785" width="30.42578125" style="10" customWidth="1"/>
    <col min="786" max="786" width="23.5703125" style="10" customWidth="1"/>
    <col min="787" max="787" width="24.42578125" style="10" customWidth="1"/>
    <col min="788" max="788" width="23" style="10" customWidth="1"/>
    <col min="789" max="789" width="26.85546875" style="10" customWidth="1"/>
    <col min="790" max="790" width="29" style="10" customWidth="1"/>
    <col min="791" max="791" width="34.140625" style="10" customWidth="1"/>
    <col min="792" max="792" width="29" style="10" customWidth="1"/>
    <col min="793" max="793" width="25" style="10" customWidth="1"/>
    <col min="794" max="794" width="36.28515625" style="10" customWidth="1"/>
    <col min="795" max="795" width="36.140625" style="10" customWidth="1"/>
    <col min="796" max="796" width="31.5703125" style="10" customWidth="1"/>
    <col min="797" max="797" width="0" style="10" hidden="1" customWidth="1"/>
    <col min="798" max="798" width="35.28515625" style="10" customWidth="1"/>
    <col min="799" max="799" width="31" style="10" customWidth="1"/>
    <col min="800" max="800" width="34.7109375" style="10" customWidth="1"/>
    <col min="801" max="801" width="31.42578125" style="10" customWidth="1"/>
    <col min="802" max="802" width="22.5703125" style="10" customWidth="1"/>
    <col min="803" max="806" width="0" style="10" hidden="1" customWidth="1"/>
    <col min="807" max="807" width="3" style="10" customWidth="1"/>
    <col min="808" max="808" width="26.85546875" style="10" customWidth="1"/>
    <col min="809" max="809" width="29.85546875" style="10" customWidth="1"/>
    <col min="810" max="810" width="32.7109375" style="10" customWidth="1"/>
    <col min="811" max="811" width="34.85546875" style="10" customWidth="1"/>
    <col min="812" max="812" width="30.42578125" style="10" customWidth="1"/>
    <col min="813" max="813" width="13.85546875" style="10" customWidth="1"/>
    <col min="814" max="814" width="39.42578125" style="10" customWidth="1"/>
    <col min="815" max="815" width="23.5703125" style="10" customWidth="1"/>
    <col min="816" max="1024" width="11.42578125" style="10"/>
    <col min="1025" max="1025" width="3.85546875" style="10" customWidth="1"/>
    <col min="1026" max="1026" width="8.5703125" style="10" customWidth="1"/>
    <col min="1027" max="1027" width="8.140625" style="10" customWidth="1"/>
    <col min="1028" max="1031" width="3.85546875" style="10" customWidth="1"/>
    <col min="1032" max="1032" width="12.42578125" style="10" customWidth="1"/>
    <col min="1033" max="1033" width="3.85546875" style="10" customWidth="1"/>
    <col min="1034" max="1034" width="45.7109375" style="10" customWidth="1"/>
    <col min="1035" max="1037" width="0" style="10" hidden="1" customWidth="1"/>
    <col min="1038" max="1038" width="35.42578125" style="10" customWidth="1"/>
    <col min="1039" max="1039" width="25.85546875" style="10" customWidth="1"/>
    <col min="1040" max="1040" width="28.85546875" style="10" customWidth="1"/>
    <col min="1041" max="1041" width="30.42578125" style="10" customWidth="1"/>
    <col min="1042" max="1042" width="23.5703125" style="10" customWidth="1"/>
    <col min="1043" max="1043" width="24.42578125" style="10" customWidth="1"/>
    <col min="1044" max="1044" width="23" style="10" customWidth="1"/>
    <col min="1045" max="1045" width="26.85546875" style="10" customWidth="1"/>
    <col min="1046" max="1046" width="29" style="10" customWidth="1"/>
    <col min="1047" max="1047" width="34.140625" style="10" customWidth="1"/>
    <col min="1048" max="1048" width="29" style="10" customWidth="1"/>
    <col min="1049" max="1049" width="25" style="10" customWidth="1"/>
    <col min="1050" max="1050" width="36.28515625" style="10" customWidth="1"/>
    <col min="1051" max="1051" width="36.140625" style="10" customWidth="1"/>
    <col min="1052" max="1052" width="31.5703125" style="10" customWidth="1"/>
    <col min="1053" max="1053" width="0" style="10" hidden="1" customWidth="1"/>
    <col min="1054" max="1054" width="35.28515625" style="10" customWidth="1"/>
    <col min="1055" max="1055" width="31" style="10" customWidth="1"/>
    <col min="1056" max="1056" width="34.7109375" style="10" customWidth="1"/>
    <col min="1057" max="1057" width="31.42578125" style="10" customWidth="1"/>
    <col min="1058" max="1058" width="22.5703125" style="10" customWidth="1"/>
    <col min="1059" max="1062" width="0" style="10" hidden="1" customWidth="1"/>
    <col min="1063" max="1063" width="3" style="10" customWidth="1"/>
    <col min="1064" max="1064" width="26.85546875" style="10" customWidth="1"/>
    <col min="1065" max="1065" width="29.85546875" style="10" customWidth="1"/>
    <col min="1066" max="1066" width="32.7109375" style="10" customWidth="1"/>
    <col min="1067" max="1067" width="34.85546875" style="10" customWidth="1"/>
    <col min="1068" max="1068" width="30.42578125" style="10" customWidth="1"/>
    <col min="1069" max="1069" width="13.85546875" style="10" customWidth="1"/>
    <col min="1070" max="1070" width="39.42578125" style="10" customWidth="1"/>
    <col min="1071" max="1071" width="23.5703125" style="10" customWidth="1"/>
    <col min="1072" max="1280" width="11.42578125" style="10"/>
    <col min="1281" max="1281" width="3.85546875" style="10" customWidth="1"/>
    <col min="1282" max="1282" width="8.5703125" style="10" customWidth="1"/>
    <col min="1283" max="1283" width="8.140625" style="10" customWidth="1"/>
    <col min="1284" max="1287" width="3.85546875" style="10" customWidth="1"/>
    <col min="1288" max="1288" width="12.42578125" style="10" customWidth="1"/>
    <col min="1289" max="1289" width="3.85546875" style="10" customWidth="1"/>
    <col min="1290" max="1290" width="45.7109375" style="10" customWidth="1"/>
    <col min="1291" max="1293" width="0" style="10" hidden="1" customWidth="1"/>
    <col min="1294" max="1294" width="35.42578125" style="10" customWidth="1"/>
    <col min="1295" max="1295" width="25.85546875" style="10" customWidth="1"/>
    <col min="1296" max="1296" width="28.85546875" style="10" customWidth="1"/>
    <col min="1297" max="1297" width="30.42578125" style="10" customWidth="1"/>
    <col min="1298" max="1298" width="23.5703125" style="10" customWidth="1"/>
    <col min="1299" max="1299" width="24.42578125" style="10" customWidth="1"/>
    <col min="1300" max="1300" width="23" style="10" customWidth="1"/>
    <col min="1301" max="1301" width="26.85546875" style="10" customWidth="1"/>
    <col min="1302" max="1302" width="29" style="10" customWidth="1"/>
    <col min="1303" max="1303" width="34.140625" style="10" customWidth="1"/>
    <col min="1304" max="1304" width="29" style="10" customWidth="1"/>
    <col min="1305" max="1305" width="25" style="10" customWidth="1"/>
    <col min="1306" max="1306" width="36.28515625" style="10" customWidth="1"/>
    <col min="1307" max="1307" width="36.140625" style="10" customWidth="1"/>
    <col min="1308" max="1308" width="31.5703125" style="10" customWidth="1"/>
    <col min="1309" max="1309" width="0" style="10" hidden="1" customWidth="1"/>
    <col min="1310" max="1310" width="35.28515625" style="10" customWidth="1"/>
    <col min="1311" max="1311" width="31" style="10" customWidth="1"/>
    <col min="1312" max="1312" width="34.7109375" style="10" customWidth="1"/>
    <col min="1313" max="1313" width="31.42578125" style="10" customWidth="1"/>
    <col min="1314" max="1314" width="22.5703125" style="10" customWidth="1"/>
    <col min="1315" max="1318" width="0" style="10" hidden="1" customWidth="1"/>
    <col min="1319" max="1319" width="3" style="10" customWidth="1"/>
    <col min="1320" max="1320" width="26.85546875" style="10" customWidth="1"/>
    <col min="1321" max="1321" width="29.85546875" style="10" customWidth="1"/>
    <col min="1322" max="1322" width="32.7109375" style="10" customWidth="1"/>
    <col min="1323" max="1323" width="34.85546875" style="10" customWidth="1"/>
    <col min="1324" max="1324" width="30.42578125" style="10" customWidth="1"/>
    <col min="1325" max="1325" width="13.85546875" style="10" customWidth="1"/>
    <col min="1326" max="1326" width="39.42578125" style="10" customWidth="1"/>
    <col min="1327" max="1327" width="23.5703125" style="10" customWidth="1"/>
    <col min="1328" max="1536" width="11.42578125" style="10"/>
    <col min="1537" max="1537" width="3.85546875" style="10" customWidth="1"/>
    <col min="1538" max="1538" width="8.5703125" style="10" customWidth="1"/>
    <col min="1539" max="1539" width="8.140625" style="10" customWidth="1"/>
    <col min="1540" max="1543" width="3.85546875" style="10" customWidth="1"/>
    <col min="1544" max="1544" width="12.42578125" style="10" customWidth="1"/>
    <col min="1545" max="1545" width="3.85546875" style="10" customWidth="1"/>
    <col min="1546" max="1546" width="45.7109375" style="10" customWidth="1"/>
    <col min="1547" max="1549" width="0" style="10" hidden="1" customWidth="1"/>
    <col min="1550" max="1550" width="35.42578125" style="10" customWidth="1"/>
    <col min="1551" max="1551" width="25.85546875" style="10" customWidth="1"/>
    <col min="1552" max="1552" width="28.85546875" style="10" customWidth="1"/>
    <col min="1553" max="1553" width="30.42578125" style="10" customWidth="1"/>
    <col min="1554" max="1554" width="23.5703125" style="10" customWidth="1"/>
    <col min="1555" max="1555" width="24.42578125" style="10" customWidth="1"/>
    <col min="1556" max="1556" width="23" style="10" customWidth="1"/>
    <col min="1557" max="1557" width="26.85546875" style="10" customWidth="1"/>
    <col min="1558" max="1558" width="29" style="10" customWidth="1"/>
    <col min="1559" max="1559" width="34.140625" style="10" customWidth="1"/>
    <col min="1560" max="1560" width="29" style="10" customWidth="1"/>
    <col min="1561" max="1561" width="25" style="10" customWidth="1"/>
    <col min="1562" max="1562" width="36.28515625" style="10" customWidth="1"/>
    <col min="1563" max="1563" width="36.140625" style="10" customWidth="1"/>
    <col min="1564" max="1564" width="31.5703125" style="10" customWidth="1"/>
    <col min="1565" max="1565" width="0" style="10" hidden="1" customWidth="1"/>
    <col min="1566" max="1566" width="35.28515625" style="10" customWidth="1"/>
    <col min="1567" max="1567" width="31" style="10" customWidth="1"/>
    <col min="1568" max="1568" width="34.7109375" style="10" customWidth="1"/>
    <col min="1569" max="1569" width="31.42578125" style="10" customWidth="1"/>
    <col min="1570" max="1570" width="22.5703125" style="10" customWidth="1"/>
    <col min="1571" max="1574" width="0" style="10" hidden="1" customWidth="1"/>
    <col min="1575" max="1575" width="3" style="10" customWidth="1"/>
    <col min="1576" max="1576" width="26.85546875" style="10" customWidth="1"/>
    <col min="1577" max="1577" width="29.85546875" style="10" customWidth="1"/>
    <col min="1578" max="1578" width="32.7109375" style="10" customWidth="1"/>
    <col min="1579" max="1579" width="34.85546875" style="10" customWidth="1"/>
    <col min="1580" max="1580" width="30.42578125" style="10" customWidth="1"/>
    <col min="1581" max="1581" width="13.85546875" style="10" customWidth="1"/>
    <col min="1582" max="1582" width="39.42578125" style="10" customWidth="1"/>
    <col min="1583" max="1583" width="23.5703125" style="10" customWidth="1"/>
    <col min="1584" max="1792" width="11.42578125" style="10"/>
    <col min="1793" max="1793" width="3.85546875" style="10" customWidth="1"/>
    <col min="1794" max="1794" width="8.5703125" style="10" customWidth="1"/>
    <col min="1795" max="1795" width="8.140625" style="10" customWidth="1"/>
    <col min="1796" max="1799" width="3.85546875" style="10" customWidth="1"/>
    <col min="1800" max="1800" width="12.42578125" style="10" customWidth="1"/>
    <col min="1801" max="1801" width="3.85546875" style="10" customWidth="1"/>
    <col min="1802" max="1802" width="45.7109375" style="10" customWidth="1"/>
    <col min="1803" max="1805" width="0" style="10" hidden="1" customWidth="1"/>
    <col min="1806" max="1806" width="35.42578125" style="10" customWidth="1"/>
    <col min="1807" max="1807" width="25.85546875" style="10" customWidth="1"/>
    <col min="1808" max="1808" width="28.85546875" style="10" customWidth="1"/>
    <col min="1809" max="1809" width="30.42578125" style="10" customWidth="1"/>
    <col min="1810" max="1810" width="23.5703125" style="10" customWidth="1"/>
    <col min="1811" max="1811" width="24.42578125" style="10" customWidth="1"/>
    <col min="1812" max="1812" width="23" style="10" customWidth="1"/>
    <col min="1813" max="1813" width="26.85546875" style="10" customWidth="1"/>
    <col min="1814" max="1814" width="29" style="10" customWidth="1"/>
    <col min="1815" max="1815" width="34.140625" style="10" customWidth="1"/>
    <col min="1816" max="1816" width="29" style="10" customWidth="1"/>
    <col min="1817" max="1817" width="25" style="10" customWidth="1"/>
    <col min="1818" max="1818" width="36.28515625" style="10" customWidth="1"/>
    <col min="1819" max="1819" width="36.140625" style="10" customWidth="1"/>
    <col min="1820" max="1820" width="31.5703125" style="10" customWidth="1"/>
    <col min="1821" max="1821" width="0" style="10" hidden="1" customWidth="1"/>
    <col min="1822" max="1822" width="35.28515625" style="10" customWidth="1"/>
    <col min="1823" max="1823" width="31" style="10" customWidth="1"/>
    <col min="1824" max="1824" width="34.7109375" style="10" customWidth="1"/>
    <col min="1825" max="1825" width="31.42578125" style="10" customWidth="1"/>
    <col min="1826" max="1826" width="22.5703125" style="10" customWidth="1"/>
    <col min="1827" max="1830" width="0" style="10" hidden="1" customWidth="1"/>
    <col min="1831" max="1831" width="3" style="10" customWidth="1"/>
    <col min="1832" max="1832" width="26.85546875" style="10" customWidth="1"/>
    <col min="1833" max="1833" width="29.85546875" style="10" customWidth="1"/>
    <col min="1834" max="1834" width="32.7109375" style="10" customWidth="1"/>
    <col min="1835" max="1835" width="34.85546875" style="10" customWidth="1"/>
    <col min="1836" max="1836" width="30.42578125" style="10" customWidth="1"/>
    <col min="1837" max="1837" width="13.85546875" style="10" customWidth="1"/>
    <col min="1838" max="1838" width="39.42578125" style="10" customWidth="1"/>
    <col min="1839" max="1839" width="23.5703125" style="10" customWidth="1"/>
    <col min="1840" max="2048" width="11.42578125" style="10"/>
    <col min="2049" max="2049" width="3.85546875" style="10" customWidth="1"/>
    <col min="2050" max="2050" width="8.5703125" style="10" customWidth="1"/>
    <col min="2051" max="2051" width="8.140625" style="10" customWidth="1"/>
    <col min="2052" max="2055" width="3.85546875" style="10" customWidth="1"/>
    <col min="2056" max="2056" width="12.42578125" style="10" customWidth="1"/>
    <col min="2057" max="2057" width="3.85546875" style="10" customWidth="1"/>
    <col min="2058" max="2058" width="45.7109375" style="10" customWidth="1"/>
    <col min="2059" max="2061" width="0" style="10" hidden="1" customWidth="1"/>
    <col min="2062" max="2062" width="35.42578125" style="10" customWidth="1"/>
    <col min="2063" max="2063" width="25.85546875" style="10" customWidth="1"/>
    <col min="2064" max="2064" width="28.85546875" style="10" customWidth="1"/>
    <col min="2065" max="2065" width="30.42578125" style="10" customWidth="1"/>
    <col min="2066" max="2066" width="23.5703125" style="10" customWidth="1"/>
    <col min="2067" max="2067" width="24.42578125" style="10" customWidth="1"/>
    <col min="2068" max="2068" width="23" style="10" customWidth="1"/>
    <col min="2069" max="2069" width="26.85546875" style="10" customWidth="1"/>
    <col min="2070" max="2070" width="29" style="10" customWidth="1"/>
    <col min="2071" max="2071" width="34.140625" style="10" customWidth="1"/>
    <col min="2072" max="2072" width="29" style="10" customWidth="1"/>
    <col min="2073" max="2073" width="25" style="10" customWidth="1"/>
    <col min="2074" max="2074" width="36.28515625" style="10" customWidth="1"/>
    <col min="2075" max="2075" width="36.140625" style="10" customWidth="1"/>
    <col min="2076" max="2076" width="31.5703125" style="10" customWidth="1"/>
    <col min="2077" max="2077" width="0" style="10" hidden="1" customWidth="1"/>
    <col min="2078" max="2078" width="35.28515625" style="10" customWidth="1"/>
    <col min="2079" max="2079" width="31" style="10" customWidth="1"/>
    <col min="2080" max="2080" width="34.7109375" style="10" customWidth="1"/>
    <col min="2081" max="2081" width="31.42578125" style="10" customWidth="1"/>
    <col min="2082" max="2082" width="22.5703125" style="10" customWidth="1"/>
    <col min="2083" max="2086" width="0" style="10" hidden="1" customWidth="1"/>
    <col min="2087" max="2087" width="3" style="10" customWidth="1"/>
    <col min="2088" max="2088" width="26.85546875" style="10" customWidth="1"/>
    <col min="2089" max="2089" width="29.85546875" style="10" customWidth="1"/>
    <col min="2090" max="2090" width="32.7109375" style="10" customWidth="1"/>
    <col min="2091" max="2091" width="34.85546875" style="10" customWidth="1"/>
    <col min="2092" max="2092" width="30.42578125" style="10" customWidth="1"/>
    <col min="2093" max="2093" width="13.85546875" style="10" customWidth="1"/>
    <col min="2094" max="2094" width="39.42578125" style="10" customWidth="1"/>
    <col min="2095" max="2095" width="23.5703125" style="10" customWidth="1"/>
    <col min="2096" max="2304" width="11.42578125" style="10"/>
    <col min="2305" max="2305" width="3.85546875" style="10" customWidth="1"/>
    <col min="2306" max="2306" width="8.5703125" style="10" customWidth="1"/>
    <col min="2307" max="2307" width="8.140625" style="10" customWidth="1"/>
    <col min="2308" max="2311" width="3.85546875" style="10" customWidth="1"/>
    <col min="2312" max="2312" width="12.42578125" style="10" customWidth="1"/>
    <col min="2313" max="2313" width="3.85546875" style="10" customWidth="1"/>
    <col min="2314" max="2314" width="45.7109375" style="10" customWidth="1"/>
    <col min="2315" max="2317" width="0" style="10" hidden="1" customWidth="1"/>
    <col min="2318" max="2318" width="35.42578125" style="10" customWidth="1"/>
    <col min="2319" max="2319" width="25.85546875" style="10" customWidth="1"/>
    <col min="2320" max="2320" width="28.85546875" style="10" customWidth="1"/>
    <col min="2321" max="2321" width="30.42578125" style="10" customWidth="1"/>
    <col min="2322" max="2322" width="23.5703125" style="10" customWidth="1"/>
    <col min="2323" max="2323" width="24.42578125" style="10" customWidth="1"/>
    <col min="2324" max="2324" width="23" style="10" customWidth="1"/>
    <col min="2325" max="2325" width="26.85546875" style="10" customWidth="1"/>
    <col min="2326" max="2326" width="29" style="10" customWidth="1"/>
    <col min="2327" max="2327" width="34.140625" style="10" customWidth="1"/>
    <col min="2328" max="2328" width="29" style="10" customWidth="1"/>
    <col min="2329" max="2329" width="25" style="10" customWidth="1"/>
    <col min="2330" max="2330" width="36.28515625" style="10" customWidth="1"/>
    <col min="2331" max="2331" width="36.140625" style="10" customWidth="1"/>
    <col min="2332" max="2332" width="31.5703125" style="10" customWidth="1"/>
    <col min="2333" max="2333" width="0" style="10" hidden="1" customWidth="1"/>
    <col min="2334" max="2334" width="35.28515625" style="10" customWidth="1"/>
    <col min="2335" max="2335" width="31" style="10" customWidth="1"/>
    <col min="2336" max="2336" width="34.7109375" style="10" customWidth="1"/>
    <col min="2337" max="2337" width="31.42578125" style="10" customWidth="1"/>
    <col min="2338" max="2338" width="22.5703125" style="10" customWidth="1"/>
    <col min="2339" max="2342" width="0" style="10" hidden="1" customWidth="1"/>
    <col min="2343" max="2343" width="3" style="10" customWidth="1"/>
    <col min="2344" max="2344" width="26.85546875" style="10" customWidth="1"/>
    <col min="2345" max="2345" width="29.85546875" style="10" customWidth="1"/>
    <col min="2346" max="2346" width="32.7109375" style="10" customWidth="1"/>
    <col min="2347" max="2347" width="34.85546875" style="10" customWidth="1"/>
    <col min="2348" max="2348" width="30.42578125" style="10" customWidth="1"/>
    <col min="2349" max="2349" width="13.85546875" style="10" customWidth="1"/>
    <col min="2350" max="2350" width="39.42578125" style="10" customWidth="1"/>
    <col min="2351" max="2351" width="23.5703125" style="10" customWidth="1"/>
    <col min="2352" max="2560" width="11.42578125" style="10"/>
    <col min="2561" max="2561" width="3.85546875" style="10" customWidth="1"/>
    <col min="2562" max="2562" width="8.5703125" style="10" customWidth="1"/>
    <col min="2563" max="2563" width="8.140625" style="10" customWidth="1"/>
    <col min="2564" max="2567" width="3.85546875" style="10" customWidth="1"/>
    <col min="2568" max="2568" width="12.42578125" style="10" customWidth="1"/>
    <col min="2569" max="2569" width="3.85546875" style="10" customWidth="1"/>
    <col min="2570" max="2570" width="45.7109375" style="10" customWidth="1"/>
    <col min="2571" max="2573" width="0" style="10" hidden="1" customWidth="1"/>
    <col min="2574" max="2574" width="35.42578125" style="10" customWidth="1"/>
    <col min="2575" max="2575" width="25.85546875" style="10" customWidth="1"/>
    <col min="2576" max="2576" width="28.85546875" style="10" customWidth="1"/>
    <col min="2577" max="2577" width="30.42578125" style="10" customWidth="1"/>
    <col min="2578" max="2578" width="23.5703125" style="10" customWidth="1"/>
    <col min="2579" max="2579" width="24.42578125" style="10" customWidth="1"/>
    <col min="2580" max="2580" width="23" style="10" customWidth="1"/>
    <col min="2581" max="2581" width="26.85546875" style="10" customWidth="1"/>
    <col min="2582" max="2582" width="29" style="10" customWidth="1"/>
    <col min="2583" max="2583" width="34.140625" style="10" customWidth="1"/>
    <col min="2584" max="2584" width="29" style="10" customWidth="1"/>
    <col min="2585" max="2585" width="25" style="10" customWidth="1"/>
    <col min="2586" max="2586" width="36.28515625" style="10" customWidth="1"/>
    <col min="2587" max="2587" width="36.140625" style="10" customWidth="1"/>
    <col min="2588" max="2588" width="31.5703125" style="10" customWidth="1"/>
    <col min="2589" max="2589" width="0" style="10" hidden="1" customWidth="1"/>
    <col min="2590" max="2590" width="35.28515625" style="10" customWidth="1"/>
    <col min="2591" max="2591" width="31" style="10" customWidth="1"/>
    <col min="2592" max="2592" width="34.7109375" style="10" customWidth="1"/>
    <col min="2593" max="2593" width="31.42578125" style="10" customWidth="1"/>
    <col min="2594" max="2594" width="22.5703125" style="10" customWidth="1"/>
    <col min="2595" max="2598" width="0" style="10" hidden="1" customWidth="1"/>
    <col min="2599" max="2599" width="3" style="10" customWidth="1"/>
    <col min="2600" max="2600" width="26.85546875" style="10" customWidth="1"/>
    <col min="2601" max="2601" width="29.85546875" style="10" customWidth="1"/>
    <col min="2602" max="2602" width="32.7109375" style="10" customWidth="1"/>
    <col min="2603" max="2603" width="34.85546875" style="10" customWidth="1"/>
    <col min="2604" max="2604" width="30.42578125" style="10" customWidth="1"/>
    <col min="2605" max="2605" width="13.85546875" style="10" customWidth="1"/>
    <col min="2606" max="2606" width="39.42578125" style="10" customWidth="1"/>
    <col min="2607" max="2607" width="23.5703125" style="10" customWidth="1"/>
    <col min="2608" max="2816" width="11.42578125" style="10"/>
    <col min="2817" max="2817" width="3.85546875" style="10" customWidth="1"/>
    <col min="2818" max="2818" width="8.5703125" style="10" customWidth="1"/>
    <col min="2819" max="2819" width="8.140625" style="10" customWidth="1"/>
    <col min="2820" max="2823" width="3.85546875" style="10" customWidth="1"/>
    <col min="2824" max="2824" width="12.42578125" style="10" customWidth="1"/>
    <col min="2825" max="2825" width="3.85546875" style="10" customWidth="1"/>
    <col min="2826" max="2826" width="45.7109375" style="10" customWidth="1"/>
    <col min="2827" max="2829" width="0" style="10" hidden="1" customWidth="1"/>
    <col min="2830" max="2830" width="35.42578125" style="10" customWidth="1"/>
    <col min="2831" max="2831" width="25.85546875" style="10" customWidth="1"/>
    <col min="2832" max="2832" width="28.85546875" style="10" customWidth="1"/>
    <col min="2833" max="2833" width="30.42578125" style="10" customWidth="1"/>
    <col min="2834" max="2834" width="23.5703125" style="10" customWidth="1"/>
    <col min="2835" max="2835" width="24.42578125" style="10" customWidth="1"/>
    <col min="2836" max="2836" width="23" style="10" customWidth="1"/>
    <col min="2837" max="2837" width="26.85546875" style="10" customWidth="1"/>
    <col min="2838" max="2838" width="29" style="10" customWidth="1"/>
    <col min="2839" max="2839" width="34.140625" style="10" customWidth="1"/>
    <col min="2840" max="2840" width="29" style="10" customWidth="1"/>
    <col min="2841" max="2841" width="25" style="10" customWidth="1"/>
    <col min="2842" max="2842" width="36.28515625" style="10" customWidth="1"/>
    <col min="2843" max="2843" width="36.140625" style="10" customWidth="1"/>
    <col min="2844" max="2844" width="31.5703125" style="10" customWidth="1"/>
    <col min="2845" max="2845" width="0" style="10" hidden="1" customWidth="1"/>
    <col min="2846" max="2846" width="35.28515625" style="10" customWidth="1"/>
    <col min="2847" max="2847" width="31" style="10" customWidth="1"/>
    <col min="2848" max="2848" width="34.7109375" style="10" customWidth="1"/>
    <col min="2849" max="2849" width="31.42578125" style="10" customWidth="1"/>
    <col min="2850" max="2850" width="22.5703125" style="10" customWidth="1"/>
    <col min="2851" max="2854" width="0" style="10" hidden="1" customWidth="1"/>
    <col min="2855" max="2855" width="3" style="10" customWidth="1"/>
    <col min="2856" max="2856" width="26.85546875" style="10" customWidth="1"/>
    <col min="2857" max="2857" width="29.85546875" style="10" customWidth="1"/>
    <col min="2858" max="2858" width="32.7109375" style="10" customWidth="1"/>
    <col min="2859" max="2859" width="34.85546875" style="10" customWidth="1"/>
    <col min="2860" max="2860" width="30.42578125" style="10" customWidth="1"/>
    <col min="2861" max="2861" width="13.85546875" style="10" customWidth="1"/>
    <col min="2862" max="2862" width="39.42578125" style="10" customWidth="1"/>
    <col min="2863" max="2863" width="23.5703125" style="10" customWidth="1"/>
    <col min="2864" max="3072" width="11.42578125" style="10"/>
    <col min="3073" max="3073" width="3.85546875" style="10" customWidth="1"/>
    <col min="3074" max="3074" width="8.5703125" style="10" customWidth="1"/>
    <col min="3075" max="3075" width="8.140625" style="10" customWidth="1"/>
    <col min="3076" max="3079" width="3.85546875" style="10" customWidth="1"/>
    <col min="3080" max="3080" width="12.42578125" style="10" customWidth="1"/>
    <col min="3081" max="3081" width="3.85546875" style="10" customWidth="1"/>
    <col min="3082" max="3082" width="45.7109375" style="10" customWidth="1"/>
    <col min="3083" max="3085" width="0" style="10" hidden="1" customWidth="1"/>
    <col min="3086" max="3086" width="35.42578125" style="10" customWidth="1"/>
    <col min="3087" max="3087" width="25.85546875" style="10" customWidth="1"/>
    <col min="3088" max="3088" width="28.85546875" style="10" customWidth="1"/>
    <col min="3089" max="3089" width="30.42578125" style="10" customWidth="1"/>
    <col min="3090" max="3090" width="23.5703125" style="10" customWidth="1"/>
    <col min="3091" max="3091" width="24.42578125" style="10" customWidth="1"/>
    <col min="3092" max="3092" width="23" style="10" customWidth="1"/>
    <col min="3093" max="3093" width="26.85546875" style="10" customWidth="1"/>
    <col min="3094" max="3094" width="29" style="10" customWidth="1"/>
    <col min="3095" max="3095" width="34.140625" style="10" customWidth="1"/>
    <col min="3096" max="3096" width="29" style="10" customWidth="1"/>
    <col min="3097" max="3097" width="25" style="10" customWidth="1"/>
    <col min="3098" max="3098" width="36.28515625" style="10" customWidth="1"/>
    <col min="3099" max="3099" width="36.140625" style="10" customWidth="1"/>
    <col min="3100" max="3100" width="31.5703125" style="10" customWidth="1"/>
    <col min="3101" max="3101" width="0" style="10" hidden="1" customWidth="1"/>
    <col min="3102" max="3102" width="35.28515625" style="10" customWidth="1"/>
    <col min="3103" max="3103" width="31" style="10" customWidth="1"/>
    <col min="3104" max="3104" width="34.7109375" style="10" customWidth="1"/>
    <col min="3105" max="3105" width="31.42578125" style="10" customWidth="1"/>
    <col min="3106" max="3106" width="22.5703125" style="10" customWidth="1"/>
    <col min="3107" max="3110" width="0" style="10" hidden="1" customWidth="1"/>
    <col min="3111" max="3111" width="3" style="10" customWidth="1"/>
    <col min="3112" max="3112" width="26.85546875" style="10" customWidth="1"/>
    <col min="3113" max="3113" width="29.85546875" style="10" customWidth="1"/>
    <col min="3114" max="3114" width="32.7109375" style="10" customWidth="1"/>
    <col min="3115" max="3115" width="34.85546875" style="10" customWidth="1"/>
    <col min="3116" max="3116" width="30.42578125" style="10" customWidth="1"/>
    <col min="3117" max="3117" width="13.85546875" style="10" customWidth="1"/>
    <col min="3118" max="3118" width="39.42578125" style="10" customWidth="1"/>
    <col min="3119" max="3119" width="23.5703125" style="10" customWidth="1"/>
    <col min="3120" max="3328" width="11.42578125" style="10"/>
    <col min="3329" max="3329" width="3.85546875" style="10" customWidth="1"/>
    <col min="3330" max="3330" width="8.5703125" style="10" customWidth="1"/>
    <col min="3331" max="3331" width="8.140625" style="10" customWidth="1"/>
    <col min="3332" max="3335" width="3.85546875" style="10" customWidth="1"/>
    <col min="3336" max="3336" width="12.42578125" style="10" customWidth="1"/>
    <col min="3337" max="3337" width="3.85546875" style="10" customWidth="1"/>
    <col min="3338" max="3338" width="45.7109375" style="10" customWidth="1"/>
    <col min="3339" max="3341" width="0" style="10" hidden="1" customWidth="1"/>
    <col min="3342" max="3342" width="35.42578125" style="10" customWidth="1"/>
    <col min="3343" max="3343" width="25.85546875" style="10" customWidth="1"/>
    <col min="3344" max="3344" width="28.85546875" style="10" customWidth="1"/>
    <col min="3345" max="3345" width="30.42578125" style="10" customWidth="1"/>
    <col min="3346" max="3346" width="23.5703125" style="10" customWidth="1"/>
    <col min="3347" max="3347" width="24.42578125" style="10" customWidth="1"/>
    <col min="3348" max="3348" width="23" style="10" customWidth="1"/>
    <col min="3349" max="3349" width="26.85546875" style="10" customWidth="1"/>
    <col min="3350" max="3350" width="29" style="10" customWidth="1"/>
    <col min="3351" max="3351" width="34.140625" style="10" customWidth="1"/>
    <col min="3352" max="3352" width="29" style="10" customWidth="1"/>
    <col min="3353" max="3353" width="25" style="10" customWidth="1"/>
    <col min="3354" max="3354" width="36.28515625" style="10" customWidth="1"/>
    <col min="3355" max="3355" width="36.140625" style="10" customWidth="1"/>
    <col min="3356" max="3356" width="31.5703125" style="10" customWidth="1"/>
    <col min="3357" max="3357" width="0" style="10" hidden="1" customWidth="1"/>
    <col min="3358" max="3358" width="35.28515625" style="10" customWidth="1"/>
    <col min="3359" max="3359" width="31" style="10" customWidth="1"/>
    <col min="3360" max="3360" width="34.7109375" style="10" customWidth="1"/>
    <col min="3361" max="3361" width="31.42578125" style="10" customWidth="1"/>
    <col min="3362" max="3362" width="22.5703125" style="10" customWidth="1"/>
    <col min="3363" max="3366" width="0" style="10" hidden="1" customWidth="1"/>
    <col min="3367" max="3367" width="3" style="10" customWidth="1"/>
    <col min="3368" max="3368" width="26.85546875" style="10" customWidth="1"/>
    <col min="3369" max="3369" width="29.85546875" style="10" customWidth="1"/>
    <col min="3370" max="3370" width="32.7109375" style="10" customWidth="1"/>
    <col min="3371" max="3371" width="34.85546875" style="10" customWidth="1"/>
    <col min="3372" max="3372" width="30.42578125" style="10" customWidth="1"/>
    <col min="3373" max="3373" width="13.85546875" style="10" customWidth="1"/>
    <col min="3374" max="3374" width="39.42578125" style="10" customWidth="1"/>
    <col min="3375" max="3375" width="23.5703125" style="10" customWidth="1"/>
    <col min="3376" max="3584" width="11.42578125" style="10"/>
    <col min="3585" max="3585" width="3.85546875" style="10" customWidth="1"/>
    <col min="3586" max="3586" width="8.5703125" style="10" customWidth="1"/>
    <col min="3587" max="3587" width="8.140625" style="10" customWidth="1"/>
    <col min="3588" max="3591" width="3.85546875" style="10" customWidth="1"/>
    <col min="3592" max="3592" width="12.42578125" style="10" customWidth="1"/>
    <col min="3593" max="3593" width="3.85546875" style="10" customWidth="1"/>
    <col min="3594" max="3594" width="45.7109375" style="10" customWidth="1"/>
    <col min="3595" max="3597" width="0" style="10" hidden="1" customWidth="1"/>
    <col min="3598" max="3598" width="35.42578125" style="10" customWidth="1"/>
    <col min="3599" max="3599" width="25.85546875" style="10" customWidth="1"/>
    <col min="3600" max="3600" width="28.85546875" style="10" customWidth="1"/>
    <col min="3601" max="3601" width="30.42578125" style="10" customWidth="1"/>
    <col min="3602" max="3602" width="23.5703125" style="10" customWidth="1"/>
    <col min="3603" max="3603" width="24.42578125" style="10" customWidth="1"/>
    <col min="3604" max="3604" width="23" style="10" customWidth="1"/>
    <col min="3605" max="3605" width="26.85546875" style="10" customWidth="1"/>
    <col min="3606" max="3606" width="29" style="10" customWidth="1"/>
    <col min="3607" max="3607" width="34.140625" style="10" customWidth="1"/>
    <col min="3608" max="3608" width="29" style="10" customWidth="1"/>
    <col min="3609" max="3609" width="25" style="10" customWidth="1"/>
    <col min="3610" max="3610" width="36.28515625" style="10" customWidth="1"/>
    <col min="3611" max="3611" width="36.140625" style="10" customWidth="1"/>
    <col min="3612" max="3612" width="31.5703125" style="10" customWidth="1"/>
    <col min="3613" max="3613" width="0" style="10" hidden="1" customWidth="1"/>
    <col min="3614" max="3614" width="35.28515625" style="10" customWidth="1"/>
    <col min="3615" max="3615" width="31" style="10" customWidth="1"/>
    <col min="3616" max="3616" width="34.7109375" style="10" customWidth="1"/>
    <col min="3617" max="3617" width="31.42578125" style="10" customWidth="1"/>
    <col min="3618" max="3618" width="22.5703125" style="10" customWidth="1"/>
    <col min="3619" max="3622" width="0" style="10" hidden="1" customWidth="1"/>
    <col min="3623" max="3623" width="3" style="10" customWidth="1"/>
    <col min="3624" max="3624" width="26.85546875" style="10" customWidth="1"/>
    <col min="3625" max="3625" width="29.85546875" style="10" customWidth="1"/>
    <col min="3626" max="3626" width="32.7109375" style="10" customWidth="1"/>
    <col min="3627" max="3627" width="34.85546875" style="10" customWidth="1"/>
    <col min="3628" max="3628" width="30.42578125" style="10" customWidth="1"/>
    <col min="3629" max="3629" width="13.85546875" style="10" customWidth="1"/>
    <col min="3630" max="3630" width="39.42578125" style="10" customWidth="1"/>
    <col min="3631" max="3631" width="23.5703125" style="10" customWidth="1"/>
    <col min="3632" max="3840" width="11.42578125" style="10"/>
    <col min="3841" max="3841" width="3.85546875" style="10" customWidth="1"/>
    <col min="3842" max="3842" width="8.5703125" style="10" customWidth="1"/>
    <col min="3843" max="3843" width="8.140625" style="10" customWidth="1"/>
    <col min="3844" max="3847" width="3.85546875" style="10" customWidth="1"/>
    <col min="3848" max="3848" width="12.42578125" style="10" customWidth="1"/>
    <col min="3849" max="3849" width="3.85546875" style="10" customWidth="1"/>
    <col min="3850" max="3850" width="45.7109375" style="10" customWidth="1"/>
    <col min="3851" max="3853" width="0" style="10" hidden="1" customWidth="1"/>
    <col min="3854" max="3854" width="35.42578125" style="10" customWidth="1"/>
    <col min="3855" max="3855" width="25.85546875" style="10" customWidth="1"/>
    <col min="3856" max="3856" width="28.85546875" style="10" customWidth="1"/>
    <col min="3857" max="3857" width="30.42578125" style="10" customWidth="1"/>
    <col min="3858" max="3858" width="23.5703125" style="10" customWidth="1"/>
    <col min="3859" max="3859" width="24.42578125" style="10" customWidth="1"/>
    <col min="3860" max="3860" width="23" style="10" customWidth="1"/>
    <col min="3861" max="3861" width="26.85546875" style="10" customWidth="1"/>
    <col min="3862" max="3862" width="29" style="10" customWidth="1"/>
    <col min="3863" max="3863" width="34.140625" style="10" customWidth="1"/>
    <col min="3864" max="3864" width="29" style="10" customWidth="1"/>
    <col min="3865" max="3865" width="25" style="10" customWidth="1"/>
    <col min="3866" max="3866" width="36.28515625" style="10" customWidth="1"/>
    <col min="3867" max="3867" width="36.140625" style="10" customWidth="1"/>
    <col min="3868" max="3868" width="31.5703125" style="10" customWidth="1"/>
    <col min="3869" max="3869" width="0" style="10" hidden="1" customWidth="1"/>
    <col min="3870" max="3870" width="35.28515625" style="10" customWidth="1"/>
    <col min="3871" max="3871" width="31" style="10" customWidth="1"/>
    <col min="3872" max="3872" width="34.7109375" style="10" customWidth="1"/>
    <col min="3873" max="3873" width="31.42578125" style="10" customWidth="1"/>
    <col min="3874" max="3874" width="22.5703125" style="10" customWidth="1"/>
    <col min="3875" max="3878" width="0" style="10" hidden="1" customWidth="1"/>
    <col min="3879" max="3879" width="3" style="10" customWidth="1"/>
    <col min="3880" max="3880" width="26.85546875" style="10" customWidth="1"/>
    <col min="3881" max="3881" width="29.85546875" style="10" customWidth="1"/>
    <col min="3882" max="3882" width="32.7109375" style="10" customWidth="1"/>
    <col min="3883" max="3883" width="34.85546875" style="10" customWidth="1"/>
    <col min="3884" max="3884" width="30.42578125" style="10" customWidth="1"/>
    <col min="3885" max="3885" width="13.85546875" style="10" customWidth="1"/>
    <col min="3886" max="3886" width="39.42578125" style="10" customWidth="1"/>
    <col min="3887" max="3887" width="23.5703125" style="10" customWidth="1"/>
    <col min="3888" max="4096" width="11.42578125" style="10"/>
    <col min="4097" max="4097" width="3.85546875" style="10" customWidth="1"/>
    <col min="4098" max="4098" width="8.5703125" style="10" customWidth="1"/>
    <col min="4099" max="4099" width="8.140625" style="10" customWidth="1"/>
    <col min="4100" max="4103" width="3.85546875" style="10" customWidth="1"/>
    <col min="4104" max="4104" width="12.42578125" style="10" customWidth="1"/>
    <col min="4105" max="4105" width="3.85546875" style="10" customWidth="1"/>
    <col min="4106" max="4106" width="45.7109375" style="10" customWidth="1"/>
    <col min="4107" max="4109" width="0" style="10" hidden="1" customWidth="1"/>
    <col min="4110" max="4110" width="35.42578125" style="10" customWidth="1"/>
    <col min="4111" max="4111" width="25.85546875" style="10" customWidth="1"/>
    <col min="4112" max="4112" width="28.85546875" style="10" customWidth="1"/>
    <col min="4113" max="4113" width="30.42578125" style="10" customWidth="1"/>
    <col min="4114" max="4114" width="23.5703125" style="10" customWidth="1"/>
    <col min="4115" max="4115" width="24.42578125" style="10" customWidth="1"/>
    <col min="4116" max="4116" width="23" style="10" customWidth="1"/>
    <col min="4117" max="4117" width="26.85546875" style="10" customWidth="1"/>
    <col min="4118" max="4118" width="29" style="10" customWidth="1"/>
    <col min="4119" max="4119" width="34.140625" style="10" customWidth="1"/>
    <col min="4120" max="4120" width="29" style="10" customWidth="1"/>
    <col min="4121" max="4121" width="25" style="10" customWidth="1"/>
    <col min="4122" max="4122" width="36.28515625" style="10" customWidth="1"/>
    <col min="4123" max="4123" width="36.140625" style="10" customWidth="1"/>
    <col min="4124" max="4124" width="31.5703125" style="10" customWidth="1"/>
    <col min="4125" max="4125" width="0" style="10" hidden="1" customWidth="1"/>
    <col min="4126" max="4126" width="35.28515625" style="10" customWidth="1"/>
    <col min="4127" max="4127" width="31" style="10" customWidth="1"/>
    <col min="4128" max="4128" width="34.7109375" style="10" customWidth="1"/>
    <col min="4129" max="4129" width="31.42578125" style="10" customWidth="1"/>
    <col min="4130" max="4130" width="22.5703125" style="10" customWidth="1"/>
    <col min="4131" max="4134" width="0" style="10" hidden="1" customWidth="1"/>
    <col min="4135" max="4135" width="3" style="10" customWidth="1"/>
    <col min="4136" max="4136" width="26.85546875" style="10" customWidth="1"/>
    <col min="4137" max="4137" width="29.85546875" style="10" customWidth="1"/>
    <col min="4138" max="4138" width="32.7109375" style="10" customWidth="1"/>
    <col min="4139" max="4139" width="34.85546875" style="10" customWidth="1"/>
    <col min="4140" max="4140" width="30.42578125" style="10" customWidth="1"/>
    <col min="4141" max="4141" width="13.85546875" style="10" customWidth="1"/>
    <col min="4142" max="4142" width="39.42578125" style="10" customWidth="1"/>
    <col min="4143" max="4143" width="23.5703125" style="10" customWidth="1"/>
    <col min="4144" max="4352" width="11.42578125" style="10"/>
    <col min="4353" max="4353" width="3.85546875" style="10" customWidth="1"/>
    <col min="4354" max="4354" width="8.5703125" style="10" customWidth="1"/>
    <col min="4355" max="4355" width="8.140625" style="10" customWidth="1"/>
    <col min="4356" max="4359" width="3.85546875" style="10" customWidth="1"/>
    <col min="4360" max="4360" width="12.42578125" style="10" customWidth="1"/>
    <col min="4361" max="4361" width="3.85546875" style="10" customWidth="1"/>
    <col min="4362" max="4362" width="45.7109375" style="10" customWidth="1"/>
    <col min="4363" max="4365" width="0" style="10" hidden="1" customWidth="1"/>
    <col min="4366" max="4366" width="35.42578125" style="10" customWidth="1"/>
    <col min="4367" max="4367" width="25.85546875" style="10" customWidth="1"/>
    <col min="4368" max="4368" width="28.85546875" style="10" customWidth="1"/>
    <col min="4369" max="4369" width="30.42578125" style="10" customWidth="1"/>
    <col min="4370" max="4370" width="23.5703125" style="10" customWidth="1"/>
    <col min="4371" max="4371" width="24.42578125" style="10" customWidth="1"/>
    <col min="4372" max="4372" width="23" style="10" customWidth="1"/>
    <col min="4373" max="4373" width="26.85546875" style="10" customWidth="1"/>
    <col min="4374" max="4374" width="29" style="10" customWidth="1"/>
    <col min="4375" max="4375" width="34.140625" style="10" customWidth="1"/>
    <col min="4376" max="4376" width="29" style="10" customWidth="1"/>
    <col min="4377" max="4377" width="25" style="10" customWidth="1"/>
    <col min="4378" max="4378" width="36.28515625" style="10" customWidth="1"/>
    <col min="4379" max="4379" width="36.140625" style="10" customWidth="1"/>
    <col min="4380" max="4380" width="31.5703125" style="10" customWidth="1"/>
    <col min="4381" max="4381" width="0" style="10" hidden="1" customWidth="1"/>
    <col min="4382" max="4382" width="35.28515625" style="10" customWidth="1"/>
    <col min="4383" max="4383" width="31" style="10" customWidth="1"/>
    <col min="4384" max="4384" width="34.7109375" style="10" customWidth="1"/>
    <col min="4385" max="4385" width="31.42578125" style="10" customWidth="1"/>
    <col min="4386" max="4386" width="22.5703125" style="10" customWidth="1"/>
    <col min="4387" max="4390" width="0" style="10" hidden="1" customWidth="1"/>
    <col min="4391" max="4391" width="3" style="10" customWidth="1"/>
    <col min="4392" max="4392" width="26.85546875" style="10" customWidth="1"/>
    <col min="4393" max="4393" width="29.85546875" style="10" customWidth="1"/>
    <col min="4394" max="4394" width="32.7109375" style="10" customWidth="1"/>
    <col min="4395" max="4395" width="34.85546875" style="10" customWidth="1"/>
    <col min="4396" max="4396" width="30.42578125" style="10" customWidth="1"/>
    <col min="4397" max="4397" width="13.85546875" style="10" customWidth="1"/>
    <col min="4398" max="4398" width="39.42578125" style="10" customWidth="1"/>
    <col min="4399" max="4399" width="23.5703125" style="10" customWidth="1"/>
    <col min="4400" max="4608" width="11.42578125" style="10"/>
    <col min="4609" max="4609" width="3.85546875" style="10" customWidth="1"/>
    <col min="4610" max="4610" width="8.5703125" style="10" customWidth="1"/>
    <col min="4611" max="4611" width="8.140625" style="10" customWidth="1"/>
    <col min="4612" max="4615" width="3.85546875" style="10" customWidth="1"/>
    <col min="4616" max="4616" width="12.42578125" style="10" customWidth="1"/>
    <col min="4617" max="4617" width="3.85546875" style="10" customWidth="1"/>
    <col min="4618" max="4618" width="45.7109375" style="10" customWidth="1"/>
    <col min="4619" max="4621" width="0" style="10" hidden="1" customWidth="1"/>
    <col min="4622" max="4622" width="35.42578125" style="10" customWidth="1"/>
    <col min="4623" max="4623" width="25.85546875" style="10" customWidth="1"/>
    <col min="4624" max="4624" width="28.85546875" style="10" customWidth="1"/>
    <col min="4625" max="4625" width="30.42578125" style="10" customWidth="1"/>
    <col min="4626" max="4626" width="23.5703125" style="10" customWidth="1"/>
    <col min="4627" max="4627" width="24.42578125" style="10" customWidth="1"/>
    <col min="4628" max="4628" width="23" style="10" customWidth="1"/>
    <col min="4629" max="4629" width="26.85546875" style="10" customWidth="1"/>
    <col min="4630" max="4630" width="29" style="10" customWidth="1"/>
    <col min="4631" max="4631" width="34.140625" style="10" customWidth="1"/>
    <col min="4632" max="4632" width="29" style="10" customWidth="1"/>
    <col min="4633" max="4633" width="25" style="10" customWidth="1"/>
    <col min="4634" max="4634" width="36.28515625" style="10" customWidth="1"/>
    <col min="4635" max="4635" width="36.140625" style="10" customWidth="1"/>
    <col min="4636" max="4636" width="31.5703125" style="10" customWidth="1"/>
    <col min="4637" max="4637" width="0" style="10" hidden="1" customWidth="1"/>
    <col min="4638" max="4638" width="35.28515625" style="10" customWidth="1"/>
    <col min="4639" max="4639" width="31" style="10" customWidth="1"/>
    <col min="4640" max="4640" width="34.7109375" style="10" customWidth="1"/>
    <col min="4641" max="4641" width="31.42578125" style="10" customWidth="1"/>
    <col min="4642" max="4642" width="22.5703125" style="10" customWidth="1"/>
    <col min="4643" max="4646" width="0" style="10" hidden="1" customWidth="1"/>
    <col min="4647" max="4647" width="3" style="10" customWidth="1"/>
    <col min="4648" max="4648" width="26.85546875" style="10" customWidth="1"/>
    <col min="4649" max="4649" width="29.85546875" style="10" customWidth="1"/>
    <col min="4650" max="4650" width="32.7109375" style="10" customWidth="1"/>
    <col min="4651" max="4651" width="34.85546875" style="10" customWidth="1"/>
    <col min="4652" max="4652" width="30.42578125" style="10" customWidth="1"/>
    <col min="4653" max="4653" width="13.85546875" style="10" customWidth="1"/>
    <col min="4654" max="4654" width="39.42578125" style="10" customWidth="1"/>
    <col min="4655" max="4655" width="23.5703125" style="10" customWidth="1"/>
    <col min="4656" max="4864" width="11.42578125" style="10"/>
    <col min="4865" max="4865" width="3.85546875" style="10" customWidth="1"/>
    <col min="4866" max="4866" width="8.5703125" style="10" customWidth="1"/>
    <col min="4867" max="4867" width="8.140625" style="10" customWidth="1"/>
    <col min="4868" max="4871" width="3.85546875" style="10" customWidth="1"/>
    <col min="4872" max="4872" width="12.42578125" style="10" customWidth="1"/>
    <col min="4873" max="4873" width="3.85546875" style="10" customWidth="1"/>
    <col min="4874" max="4874" width="45.7109375" style="10" customWidth="1"/>
    <col min="4875" max="4877" width="0" style="10" hidden="1" customWidth="1"/>
    <col min="4878" max="4878" width="35.42578125" style="10" customWidth="1"/>
    <col min="4879" max="4879" width="25.85546875" style="10" customWidth="1"/>
    <col min="4880" max="4880" width="28.85546875" style="10" customWidth="1"/>
    <col min="4881" max="4881" width="30.42578125" style="10" customWidth="1"/>
    <col min="4882" max="4882" width="23.5703125" style="10" customWidth="1"/>
    <col min="4883" max="4883" width="24.42578125" style="10" customWidth="1"/>
    <col min="4884" max="4884" width="23" style="10" customWidth="1"/>
    <col min="4885" max="4885" width="26.85546875" style="10" customWidth="1"/>
    <col min="4886" max="4886" width="29" style="10" customWidth="1"/>
    <col min="4887" max="4887" width="34.140625" style="10" customWidth="1"/>
    <col min="4888" max="4888" width="29" style="10" customWidth="1"/>
    <col min="4889" max="4889" width="25" style="10" customWidth="1"/>
    <col min="4890" max="4890" width="36.28515625" style="10" customWidth="1"/>
    <col min="4891" max="4891" width="36.140625" style="10" customWidth="1"/>
    <col min="4892" max="4892" width="31.5703125" style="10" customWidth="1"/>
    <col min="4893" max="4893" width="0" style="10" hidden="1" customWidth="1"/>
    <col min="4894" max="4894" width="35.28515625" style="10" customWidth="1"/>
    <col min="4895" max="4895" width="31" style="10" customWidth="1"/>
    <col min="4896" max="4896" width="34.7109375" style="10" customWidth="1"/>
    <col min="4897" max="4897" width="31.42578125" style="10" customWidth="1"/>
    <col min="4898" max="4898" width="22.5703125" style="10" customWidth="1"/>
    <col min="4899" max="4902" width="0" style="10" hidden="1" customWidth="1"/>
    <col min="4903" max="4903" width="3" style="10" customWidth="1"/>
    <col min="4904" max="4904" width="26.85546875" style="10" customWidth="1"/>
    <col min="4905" max="4905" width="29.85546875" style="10" customWidth="1"/>
    <col min="4906" max="4906" width="32.7109375" style="10" customWidth="1"/>
    <col min="4907" max="4907" width="34.85546875" style="10" customWidth="1"/>
    <col min="4908" max="4908" width="30.42578125" style="10" customWidth="1"/>
    <col min="4909" max="4909" width="13.85546875" style="10" customWidth="1"/>
    <col min="4910" max="4910" width="39.42578125" style="10" customWidth="1"/>
    <col min="4911" max="4911" width="23.5703125" style="10" customWidth="1"/>
    <col min="4912" max="5120" width="11.42578125" style="10"/>
    <col min="5121" max="5121" width="3.85546875" style="10" customWidth="1"/>
    <col min="5122" max="5122" width="8.5703125" style="10" customWidth="1"/>
    <col min="5123" max="5123" width="8.140625" style="10" customWidth="1"/>
    <col min="5124" max="5127" width="3.85546875" style="10" customWidth="1"/>
    <col min="5128" max="5128" width="12.42578125" style="10" customWidth="1"/>
    <col min="5129" max="5129" width="3.85546875" style="10" customWidth="1"/>
    <col min="5130" max="5130" width="45.7109375" style="10" customWidth="1"/>
    <col min="5131" max="5133" width="0" style="10" hidden="1" customWidth="1"/>
    <col min="5134" max="5134" width="35.42578125" style="10" customWidth="1"/>
    <col min="5135" max="5135" width="25.85546875" style="10" customWidth="1"/>
    <col min="5136" max="5136" width="28.85546875" style="10" customWidth="1"/>
    <col min="5137" max="5137" width="30.42578125" style="10" customWidth="1"/>
    <col min="5138" max="5138" width="23.5703125" style="10" customWidth="1"/>
    <col min="5139" max="5139" width="24.42578125" style="10" customWidth="1"/>
    <col min="5140" max="5140" width="23" style="10" customWidth="1"/>
    <col min="5141" max="5141" width="26.85546875" style="10" customWidth="1"/>
    <col min="5142" max="5142" width="29" style="10" customWidth="1"/>
    <col min="5143" max="5143" width="34.140625" style="10" customWidth="1"/>
    <col min="5144" max="5144" width="29" style="10" customWidth="1"/>
    <col min="5145" max="5145" width="25" style="10" customWidth="1"/>
    <col min="5146" max="5146" width="36.28515625" style="10" customWidth="1"/>
    <col min="5147" max="5147" width="36.140625" style="10" customWidth="1"/>
    <col min="5148" max="5148" width="31.5703125" style="10" customWidth="1"/>
    <col min="5149" max="5149" width="0" style="10" hidden="1" customWidth="1"/>
    <col min="5150" max="5150" width="35.28515625" style="10" customWidth="1"/>
    <col min="5151" max="5151" width="31" style="10" customWidth="1"/>
    <col min="5152" max="5152" width="34.7109375" style="10" customWidth="1"/>
    <col min="5153" max="5153" width="31.42578125" style="10" customWidth="1"/>
    <col min="5154" max="5154" width="22.5703125" style="10" customWidth="1"/>
    <col min="5155" max="5158" width="0" style="10" hidden="1" customWidth="1"/>
    <col min="5159" max="5159" width="3" style="10" customWidth="1"/>
    <col min="5160" max="5160" width="26.85546875" style="10" customWidth="1"/>
    <col min="5161" max="5161" width="29.85546875" style="10" customWidth="1"/>
    <col min="5162" max="5162" width="32.7109375" style="10" customWidth="1"/>
    <col min="5163" max="5163" width="34.85546875" style="10" customWidth="1"/>
    <col min="5164" max="5164" width="30.42578125" style="10" customWidth="1"/>
    <col min="5165" max="5165" width="13.85546875" style="10" customWidth="1"/>
    <col min="5166" max="5166" width="39.42578125" style="10" customWidth="1"/>
    <col min="5167" max="5167" width="23.5703125" style="10" customWidth="1"/>
    <col min="5168" max="5376" width="11.42578125" style="10"/>
    <col min="5377" max="5377" width="3.85546875" style="10" customWidth="1"/>
    <col min="5378" max="5378" width="8.5703125" style="10" customWidth="1"/>
    <col min="5379" max="5379" width="8.140625" style="10" customWidth="1"/>
    <col min="5380" max="5383" width="3.85546875" style="10" customWidth="1"/>
    <col min="5384" max="5384" width="12.42578125" style="10" customWidth="1"/>
    <col min="5385" max="5385" width="3.85546875" style="10" customWidth="1"/>
    <col min="5386" max="5386" width="45.7109375" style="10" customWidth="1"/>
    <col min="5387" max="5389" width="0" style="10" hidden="1" customWidth="1"/>
    <col min="5390" max="5390" width="35.42578125" style="10" customWidth="1"/>
    <col min="5391" max="5391" width="25.85546875" style="10" customWidth="1"/>
    <col min="5392" max="5392" width="28.85546875" style="10" customWidth="1"/>
    <col min="5393" max="5393" width="30.42578125" style="10" customWidth="1"/>
    <col min="5394" max="5394" width="23.5703125" style="10" customWidth="1"/>
    <col min="5395" max="5395" width="24.42578125" style="10" customWidth="1"/>
    <col min="5396" max="5396" width="23" style="10" customWidth="1"/>
    <col min="5397" max="5397" width="26.85546875" style="10" customWidth="1"/>
    <col min="5398" max="5398" width="29" style="10" customWidth="1"/>
    <col min="5399" max="5399" width="34.140625" style="10" customWidth="1"/>
    <col min="5400" max="5400" width="29" style="10" customWidth="1"/>
    <col min="5401" max="5401" width="25" style="10" customWidth="1"/>
    <col min="5402" max="5402" width="36.28515625" style="10" customWidth="1"/>
    <col min="5403" max="5403" width="36.140625" style="10" customWidth="1"/>
    <col min="5404" max="5404" width="31.5703125" style="10" customWidth="1"/>
    <col min="5405" max="5405" width="0" style="10" hidden="1" customWidth="1"/>
    <col min="5406" max="5406" width="35.28515625" style="10" customWidth="1"/>
    <col min="5407" max="5407" width="31" style="10" customWidth="1"/>
    <col min="5408" max="5408" width="34.7109375" style="10" customWidth="1"/>
    <col min="5409" max="5409" width="31.42578125" style="10" customWidth="1"/>
    <col min="5410" max="5410" width="22.5703125" style="10" customWidth="1"/>
    <col min="5411" max="5414" width="0" style="10" hidden="1" customWidth="1"/>
    <col min="5415" max="5415" width="3" style="10" customWidth="1"/>
    <col min="5416" max="5416" width="26.85546875" style="10" customWidth="1"/>
    <col min="5417" max="5417" width="29.85546875" style="10" customWidth="1"/>
    <col min="5418" max="5418" width="32.7109375" style="10" customWidth="1"/>
    <col min="5419" max="5419" width="34.85546875" style="10" customWidth="1"/>
    <col min="5420" max="5420" width="30.42578125" style="10" customWidth="1"/>
    <col min="5421" max="5421" width="13.85546875" style="10" customWidth="1"/>
    <col min="5422" max="5422" width="39.42578125" style="10" customWidth="1"/>
    <col min="5423" max="5423" width="23.5703125" style="10" customWidth="1"/>
    <col min="5424" max="5632" width="11.42578125" style="10"/>
    <col min="5633" max="5633" width="3.85546875" style="10" customWidth="1"/>
    <col min="5634" max="5634" width="8.5703125" style="10" customWidth="1"/>
    <col min="5635" max="5635" width="8.140625" style="10" customWidth="1"/>
    <col min="5636" max="5639" width="3.85546875" style="10" customWidth="1"/>
    <col min="5640" max="5640" width="12.42578125" style="10" customWidth="1"/>
    <col min="5641" max="5641" width="3.85546875" style="10" customWidth="1"/>
    <col min="5642" max="5642" width="45.7109375" style="10" customWidth="1"/>
    <col min="5643" max="5645" width="0" style="10" hidden="1" customWidth="1"/>
    <col min="5646" max="5646" width="35.42578125" style="10" customWidth="1"/>
    <col min="5647" max="5647" width="25.85546875" style="10" customWidth="1"/>
    <col min="5648" max="5648" width="28.85546875" style="10" customWidth="1"/>
    <col min="5649" max="5649" width="30.42578125" style="10" customWidth="1"/>
    <col min="5650" max="5650" width="23.5703125" style="10" customWidth="1"/>
    <col min="5651" max="5651" width="24.42578125" style="10" customWidth="1"/>
    <col min="5652" max="5652" width="23" style="10" customWidth="1"/>
    <col min="5653" max="5653" width="26.85546875" style="10" customWidth="1"/>
    <col min="5654" max="5654" width="29" style="10" customWidth="1"/>
    <col min="5655" max="5655" width="34.140625" style="10" customWidth="1"/>
    <col min="5656" max="5656" width="29" style="10" customWidth="1"/>
    <col min="5657" max="5657" width="25" style="10" customWidth="1"/>
    <col min="5658" max="5658" width="36.28515625" style="10" customWidth="1"/>
    <col min="5659" max="5659" width="36.140625" style="10" customWidth="1"/>
    <col min="5660" max="5660" width="31.5703125" style="10" customWidth="1"/>
    <col min="5661" max="5661" width="0" style="10" hidden="1" customWidth="1"/>
    <col min="5662" max="5662" width="35.28515625" style="10" customWidth="1"/>
    <col min="5663" max="5663" width="31" style="10" customWidth="1"/>
    <col min="5664" max="5664" width="34.7109375" style="10" customWidth="1"/>
    <col min="5665" max="5665" width="31.42578125" style="10" customWidth="1"/>
    <col min="5666" max="5666" width="22.5703125" style="10" customWidth="1"/>
    <col min="5667" max="5670" width="0" style="10" hidden="1" customWidth="1"/>
    <col min="5671" max="5671" width="3" style="10" customWidth="1"/>
    <col min="5672" max="5672" width="26.85546875" style="10" customWidth="1"/>
    <col min="5673" max="5673" width="29.85546875" style="10" customWidth="1"/>
    <col min="5674" max="5674" width="32.7109375" style="10" customWidth="1"/>
    <col min="5675" max="5675" width="34.85546875" style="10" customWidth="1"/>
    <col min="5676" max="5676" width="30.42578125" style="10" customWidth="1"/>
    <col min="5677" max="5677" width="13.85546875" style="10" customWidth="1"/>
    <col min="5678" max="5678" width="39.42578125" style="10" customWidth="1"/>
    <col min="5679" max="5679" width="23.5703125" style="10" customWidth="1"/>
    <col min="5680" max="5888" width="11.42578125" style="10"/>
    <col min="5889" max="5889" width="3.85546875" style="10" customWidth="1"/>
    <col min="5890" max="5890" width="8.5703125" style="10" customWidth="1"/>
    <col min="5891" max="5891" width="8.140625" style="10" customWidth="1"/>
    <col min="5892" max="5895" width="3.85546875" style="10" customWidth="1"/>
    <col min="5896" max="5896" width="12.42578125" style="10" customWidth="1"/>
    <col min="5897" max="5897" width="3.85546875" style="10" customWidth="1"/>
    <col min="5898" max="5898" width="45.7109375" style="10" customWidth="1"/>
    <col min="5899" max="5901" width="0" style="10" hidden="1" customWidth="1"/>
    <col min="5902" max="5902" width="35.42578125" style="10" customWidth="1"/>
    <col min="5903" max="5903" width="25.85546875" style="10" customWidth="1"/>
    <col min="5904" max="5904" width="28.85546875" style="10" customWidth="1"/>
    <col min="5905" max="5905" width="30.42578125" style="10" customWidth="1"/>
    <col min="5906" max="5906" width="23.5703125" style="10" customWidth="1"/>
    <col min="5907" max="5907" width="24.42578125" style="10" customWidth="1"/>
    <col min="5908" max="5908" width="23" style="10" customWidth="1"/>
    <col min="5909" max="5909" width="26.85546875" style="10" customWidth="1"/>
    <col min="5910" max="5910" width="29" style="10" customWidth="1"/>
    <col min="5911" max="5911" width="34.140625" style="10" customWidth="1"/>
    <col min="5912" max="5912" width="29" style="10" customWidth="1"/>
    <col min="5913" max="5913" width="25" style="10" customWidth="1"/>
    <col min="5914" max="5914" width="36.28515625" style="10" customWidth="1"/>
    <col min="5915" max="5915" width="36.140625" style="10" customWidth="1"/>
    <col min="5916" max="5916" width="31.5703125" style="10" customWidth="1"/>
    <col min="5917" max="5917" width="0" style="10" hidden="1" customWidth="1"/>
    <col min="5918" max="5918" width="35.28515625" style="10" customWidth="1"/>
    <col min="5919" max="5919" width="31" style="10" customWidth="1"/>
    <col min="5920" max="5920" width="34.7109375" style="10" customWidth="1"/>
    <col min="5921" max="5921" width="31.42578125" style="10" customWidth="1"/>
    <col min="5922" max="5922" width="22.5703125" style="10" customWidth="1"/>
    <col min="5923" max="5926" width="0" style="10" hidden="1" customWidth="1"/>
    <col min="5927" max="5927" width="3" style="10" customWidth="1"/>
    <col min="5928" max="5928" width="26.85546875" style="10" customWidth="1"/>
    <col min="5929" max="5929" width="29.85546875" style="10" customWidth="1"/>
    <col min="5930" max="5930" width="32.7109375" style="10" customWidth="1"/>
    <col min="5931" max="5931" width="34.85546875" style="10" customWidth="1"/>
    <col min="5932" max="5932" width="30.42578125" style="10" customWidth="1"/>
    <col min="5933" max="5933" width="13.85546875" style="10" customWidth="1"/>
    <col min="5934" max="5934" width="39.42578125" style="10" customWidth="1"/>
    <col min="5935" max="5935" width="23.5703125" style="10" customWidth="1"/>
    <col min="5936" max="6144" width="11.42578125" style="10"/>
    <col min="6145" max="6145" width="3.85546875" style="10" customWidth="1"/>
    <col min="6146" max="6146" width="8.5703125" style="10" customWidth="1"/>
    <col min="6147" max="6147" width="8.140625" style="10" customWidth="1"/>
    <col min="6148" max="6151" width="3.85546875" style="10" customWidth="1"/>
    <col min="6152" max="6152" width="12.42578125" style="10" customWidth="1"/>
    <col min="6153" max="6153" width="3.85546875" style="10" customWidth="1"/>
    <col min="6154" max="6154" width="45.7109375" style="10" customWidth="1"/>
    <col min="6155" max="6157" width="0" style="10" hidden="1" customWidth="1"/>
    <col min="6158" max="6158" width="35.42578125" style="10" customWidth="1"/>
    <col min="6159" max="6159" width="25.85546875" style="10" customWidth="1"/>
    <col min="6160" max="6160" width="28.85546875" style="10" customWidth="1"/>
    <col min="6161" max="6161" width="30.42578125" style="10" customWidth="1"/>
    <col min="6162" max="6162" width="23.5703125" style="10" customWidth="1"/>
    <col min="6163" max="6163" width="24.42578125" style="10" customWidth="1"/>
    <col min="6164" max="6164" width="23" style="10" customWidth="1"/>
    <col min="6165" max="6165" width="26.85546875" style="10" customWidth="1"/>
    <col min="6166" max="6166" width="29" style="10" customWidth="1"/>
    <col min="6167" max="6167" width="34.140625" style="10" customWidth="1"/>
    <col min="6168" max="6168" width="29" style="10" customWidth="1"/>
    <col min="6169" max="6169" width="25" style="10" customWidth="1"/>
    <col min="6170" max="6170" width="36.28515625" style="10" customWidth="1"/>
    <col min="6171" max="6171" width="36.140625" style="10" customWidth="1"/>
    <col min="6172" max="6172" width="31.5703125" style="10" customWidth="1"/>
    <col min="6173" max="6173" width="0" style="10" hidden="1" customWidth="1"/>
    <col min="6174" max="6174" width="35.28515625" style="10" customWidth="1"/>
    <col min="6175" max="6175" width="31" style="10" customWidth="1"/>
    <col min="6176" max="6176" width="34.7109375" style="10" customWidth="1"/>
    <col min="6177" max="6177" width="31.42578125" style="10" customWidth="1"/>
    <col min="6178" max="6178" width="22.5703125" style="10" customWidth="1"/>
    <col min="6179" max="6182" width="0" style="10" hidden="1" customWidth="1"/>
    <col min="6183" max="6183" width="3" style="10" customWidth="1"/>
    <col min="6184" max="6184" width="26.85546875" style="10" customWidth="1"/>
    <col min="6185" max="6185" width="29.85546875" style="10" customWidth="1"/>
    <col min="6186" max="6186" width="32.7109375" style="10" customWidth="1"/>
    <col min="6187" max="6187" width="34.85546875" style="10" customWidth="1"/>
    <col min="6188" max="6188" width="30.42578125" style="10" customWidth="1"/>
    <col min="6189" max="6189" width="13.85546875" style="10" customWidth="1"/>
    <col min="6190" max="6190" width="39.42578125" style="10" customWidth="1"/>
    <col min="6191" max="6191" width="23.5703125" style="10" customWidth="1"/>
    <col min="6192" max="6400" width="11.42578125" style="10"/>
    <col min="6401" max="6401" width="3.85546875" style="10" customWidth="1"/>
    <col min="6402" max="6402" width="8.5703125" style="10" customWidth="1"/>
    <col min="6403" max="6403" width="8.140625" style="10" customWidth="1"/>
    <col min="6404" max="6407" width="3.85546875" style="10" customWidth="1"/>
    <col min="6408" max="6408" width="12.42578125" style="10" customWidth="1"/>
    <col min="6409" max="6409" width="3.85546875" style="10" customWidth="1"/>
    <col min="6410" max="6410" width="45.7109375" style="10" customWidth="1"/>
    <col min="6411" max="6413" width="0" style="10" hidden="1" customWidth="1"/>
    <col min="6414" max="6414" width="35.42578125" style="10" customWidth="1"/>
    <col min="6415" max="6415" width="25.85546875" style="10" customWidth="1"/>
    <col min="6416" max="6416" width="28.85546875" style="10" customWidth="1"/>
    <col min="6417" max="6417" width="30.42578125" style="10" customWidth="1"/>
    <col min="6418" max="6418" width="23.5703125" style="10" customWidth="1"/>
    <col min="6419" max="6419" width="24.42578125" style="10" customWidth="1"/>
    <col min="6420" max="6420" width="23" style="10" customWidth="1"/>
    <col min="6421" max="6421" width="26.85546875" style="10" customWidth="1"/>
    <col min="6422" max="6422" width="29" style="10" customWidth="1"/>
    <col min="6423" max="6423" width="34.140625" style="10" customWidth="1"/>
    <col min="6424" max="6424" width="29" style="10" customWidth="1"/>
    <col min="6425" max="6425" width="25" style="10" customWidth="1"/>
    <col min="6426" max="6426" width="36.28515625" style="10" customWidth="1"/>
    <col min="6427" max="6427" width="36.140625" style="10" customWidth="1"/>
    <col min="6428" max="6428" width="31.5703125" style="10" customWidth="1"/>
    <col min="6429" max="6429" width="0" style="10" hidden="1" customWidth="1"/>
    <col min="6430" max="6430" width="35.28515625" style="10" customWidth="1"/>
    <col min="6431" max="6431" width="31" style="10" customWidth="1"/>
    <col min="6432" max="6432" width="34.7109375" style="10" customWidth="1"/>
    <col min="6433" max="6433" width="31.42578125" style="10" customWidth="1"/>
    <col min="6434" max="6434" width="22.5703125" style="10" customWidth="1"/>
    <col min="6435" max="6438" width="0" style="10" hidden="1" customWidth="1"/>
    <col min="6439" max="6439" width="3" style="10" customWidth="1"/>
    <col min="6440" max="6440" width="26.85546875" style="10" customWidth="1"/>
    <col min="6441" max="6441" width="29.85546875" style="10" customWidth="1"/>
    <col min="6442" max="6442" width="32.7109375" style="10" customWidth="1"/>
    <col min="6443" max="6443" width="34.85546875" style="10" customWidth="1"/>
    <col min="6444" max="6444" width="30.42578125" style="10" customWidth="1"/>
    <col min="6445" max="6445" width="13.85546875" style="10" customWidth="1"/>
    <col min="6446" max="6446" width="39.42578125" style="10" customWidth="1"/>
    <col min="6447" max="6447" width="23.5703125" style="10" customWidth="1"/>
    <col min="6448" max="6656" width="11.42578125" style="10"/>
    <col min="6657" max="6657" width="3.85546875" style="10" customWidth="1"/>
    <col min="6658" max="6658" width="8.5703125" style="10" customWidth="1"/>
    <col min="6659" max="6659" width="8.140625" style="10" customWidth="1"/>
    <col min="6660" max="6663" width="3.85546875" style="10" customWidth="1"/>
    <col min="6664" max="6664" width="12.42578125" style="10" customWidth="1"/>
    <col min="6665" max="6665" width="3.85546875" style="10" customWidth="1"/>
    <col min="6666" max="6666" width="45.7109375" style="10" customWidth="1"/>
    <col min="6667" max="6669" width="0" style="10" hidden="1" customWidth="1"/>
    <col min="6670" max="6670" width="35.42578125" style="10" customWidth="1"/>
    <col min="6671" max="6671" width="25.85546875" style="10" customWidth="1"/>
    <col min="6672" max="6672" width="28.85546875" style="10" customWidth="1"/>
    <col min="6673" max="6673" width="30.42578125" style="10" customWidth="1"/>
    <col min="6674" max="6674" width="23.5703125" style="10" customWidth="1"/>
    <col min="6675" max="6675" width="24.42578125" style="10" customWidth="1"/>
    <col min="6676" max="6676" width="23" style="10" customWidth="1"/>
    <col min="6677" max="6677" width="26.85546875" style="10" customWidth="1"/>
    <col min="6678" max="6678" width="29" style="10" customWidth="1"/>
    <col min="6679" max="6679" width="34.140625" style="10" customWidth="1"/>
    <col min="6680" max="6680" width="29" style="10" customWidth="1"/>
    <col min="6681" max="6681" width="25" style="10" customWidth="1"/>
    <col min="6682" max="6682" width="36.28515625" style="10" customWidth="1"/>
    <col min="6683" max="6683" width="36.140625" style="10" customWidth="1"/>
    <col min="6684" max="6684" width="31.5703125" style="10" customWidth="1"/>
    <col min="6685" max="6685" width="0" style="10" hidden="1" customWidth="1"/>
    <col min="6686" max="6686" width="35.28515625" style="10" customWidth="1"/>
    <col min="6687" max="6687" width="31" style="10" customWidth="1"/>
    <col min="6688" max="6688" width="34.7109375" style="10" customWidth="1"/>
    <col min="6689" max="6689" width="31.42578125" style="10" customWidth="1"/>
    <col min="6690" max="6690" width="22.5703125" style="10" customWidth="1"/>
    <col min="6691" max="6694" width="0" style="10" hidden="1" customWidth="1"/>
    <col min="6695" max="6695" width="3" style="10" customWidth="1"/>
    <col min="6696" max="6696" width="26.85546875" style="10" customWidth="1"/>
    <col min="6697" max="6697" width="29.85546875" style="10" customWidth="1"/>
    <col min="6698" max="6698" width="32.7109375" style="10" customWidth="1"/>
    <col min="6699" max="6699" width="34.85546875" style="10" customWidth="1"/>
    <col min="6700" max="6700" width="30.42578125" style="10" customWidth="1"/>
    <col min="6701" max="6701" width="13.85546875" style="10" customWidth="1"/>
    <col min="6702" max="6702" width="39.42578125" style="10" customWidth="1"/>
    <col min="6703" max="6703" width="23.5703125" style="10" customWidth="1"/>
    <col min="6704" max="6912" width="11.42578125" style="10"/>
    <col min="6913" max="6913" width="3.85546875" style="10" customWidth="1"/>
    <col min="6914" max="6914" width="8.5703125" style="10" customWidth="1"/>
    <col min="6915" max="6915" width="8.140625" style="10" customWidth="1"/>
    <col min="6916" max="6919" width="3.85546875" style="10" customWidth="1"/>
    <col min="6920" max="6920" width="12.42578125" style="10" customWidth="1"/>
    <col min="6921" max="6921" width="3.85546875" style="10" customWidth="1"/>
    <col min="6922" max="6922" width="45.7109375" style="10" customWidth="1"/>
    <col min="6923" max="6925" width="0" style="10" hidden="1" customWidth="1"/>
    <col min="6926" max="6926" width="35.42578125" style="10" customWidth="1"/>
    <col min="6927" max="6927" width="25.85546875" style="10" customWidth="1"/>
    <col min="6928" max="6928" width="28.85546875" style="10" customWidth="1"/>
    <col min="6929" max="6929" width="30.42578125" style="10" customWidth="1"/>
    <col min="6930" max="6930" width="23.5703125" style="10" customWidth="1"/>
    <col min="6931" max="6931" width="24.42578125" style="10" customWidth="1"/>
    <col min="6932" max="6932" width="23" style="10" customWidth="1"/>
    <col min="6933" max="6933" width="26.85546875" style="10" customWidth="1"/>
    <col min="6934" max="6934" width="29" style="10" customWidth="1"/>
    <col min="6935" max="6935" width="34.140625" style="10" customWidth="1"/>
    <col min="6936" max="6936" width="29" style="10" customWidth="1"/>
    <col min="6937" max="6937" width="25" style="10" customWidth="1"/>
    <col min="6938" max="6938" width="36.28515625" style="10" customWidth="1"/>
    <col min="6939" max="6939" width="36.140625" style="10" customWidth="1"/>
    <col min="6940" max="6940" width="31.5703125" style="10" customWidth="1"/>
    <col min="6941" max="6941" width="0" style="10" hidden="1" customWidth="1"/>
    <col min="6942" max="6942" width="35.28515625" style="10" customWidth="1"/>
    <col min="6943" max="6943" width="31" style="10" customWidth="1"/>
    <col min="6944" max="6944" width="34.7109375" style="10" customWidth="1"/>
    <col min="6945" max="6945" width="31.42578125" style="10" customWidth="1"/>
    <col min="6946" max="6946" width="22.5703125" style="10" customWidth="1"/>
    <col min="6947" max="6950" width="0" style="10" hidden="1" customWidth="1"/>
    <col min="6951" max="6951" width="3" style="10" customWidth="1"/>
    <col min="6952" max="6952" width="26.85546875" style="10" customWidth="1"/>
    <col min="6953" max="6953" width="29.85546875" style="10" customWidth="1"/>
    <col min="6954" max="6954" width="32.7109375" style="10" customWidth="1"/>
    <col min="6955" max="6955" width="34.85546875" style="10" customWidth="1"/>
    <col min="6956" max="6956" width="30.42578125" style="10" customWidth="1"/>
    <col min="6957" max="6957" width="13.85546875" style="10" customWidth="1"/>
    <col min="6958" max="6958" width="39.42578125" style="10" customWidth="1"/>
    <col min="6959" max="6959" width="23.5703125" style="10" customWidth="1"/>
    <col min="6960" max="7168" width="11.42578125" style="10"/>
    <col min="7169" max="7169" width="3.85546875" style="10" customWidth="1"/>
    <col min="7170" max="7170" width="8.5703125" style="10" customWidth="1"/>
    <col min="7171" max="7171" width="8.140625" style="10" customWidth="1"/>
    <col min="7172" max="7175" width="3.85546875" style="10" customWidth="1"/>
    <col min="7176" max="7176" width="12.42578125" style="10" customWidth="1"/>
    <col min="7177" max="7177" width="3.85546875" style="10" customWidth="1"/>
    <col min="7178" max="7178" width="45.7109375" style="10" customWidth="1"/>
    <col min="7179" max="7181" width="0" style="10" hidden="1" customWidth="1"/>
    <col min="7182" max="7182" width="35.42578125" style="10" customWidth="1"/>
    <col min="7183" max="7183" width="25.85546875" style="10" customWidth="1"/>
    <col min="7184" max="7184" width="28.85546875" style="10" customWidth="1"/>
    <col min="7185" max="7185" width="30.42578125" style="10" customWidth="1"/>
    <col min="7186" max="7186" width="23.5703125" style="10" customWidth="1"/>
    <col min="7187" max="7187" width="24.42578125" style="10" customWidth="1"/>
    <col min="7188" max="7188" width="23" style="10" customWidth="1"/>
    <col min="7189" max="7189" width="26.85546875" style="10" customWidth="1"/>
    <col min="7190" max="7190" width="29" style="10" customWidth="1"/>
    <col min="7191" max="7191" width="34.140625" style="10" customWidth="1"/>
    <col min="7192" max="7192" width="29" style="10" customWidth="1"/>
    <col min="7193" max="7193" width="25" style="10" customWidth="1"/>
    <col min="7194" max="7194" width="36.28515625" style="10" customWidth="1"/>
    <col min="7195" max="7195" width="36.140625" style="10" customWidth="1"/>
    <col min="7196" max="7196" width="31.5703125" style="10" customWidth="1"/>
    <col min="7197" max="7197" width="0" style="10" hidden="1" customWidth="1"/>
    <col min="7198" max="7198" width="35.28515625" style="10" customWidth="1"/>
    <col min="7199" max="7199" width="31" style="10" customWidth="1"/>
    <col min="7200" max="7200" width="34.7109375" style="10" customWidth="1"/>
    <col min="7201" max="7201" width="31.42578125" style="10" customWidth="1"/>
    <col min="7202" max="7202" width="22.5703125" style="10" customWidth="1"/>
    <col min="7203" max="7206" width="0" style="10" hidden="1" customWidth="1"/>
    <col min="7207" max="7207" width="3" style="10" customWidth="1"/>
    <col min="7208" max="7208" width="26.85546875" style="10" customWidth="1"/>
    <col min="7209" max="7209" width="29.85546875" style="10" customWidth="1"/>
    <col min="7210" max="7210" width="32.7109375" style="10" customWidth="1"/>
    <col min="7211" max="7211" width="34.85546875" style="10" customWidth="1"/>
    <col min="7212" max="7212" width="30.42578125" style="10" customWidth="1"/>
    <col min="7213" max="7213" width="13.85546875" style="10" customWidth="1"/>
    <col min="7214" max="7214" width="39.42578125" style="10" customWidth="1"/>
    <col min="7215" max="7215" width="23.5703125" style="10" customWidth="1"/>
    <col min="7216" max="7424" width="11.42578125" style="10"/>
    <col min="7425" max="7425" width="3.85546875" style="10" customWidth="1"/>
    <col min="7426" max="7426" width="8.5703125" style="10" customWidth="1"/>
    <col min="7427" max="7427" width="8.140625" style="10" customWidth="1"/>
    <col min="7428" max="7431" width="3.85546875" style="10" customWidth="1"/>
    <col min="7432" max="7432" width="12.42578125" style="10" customWidth="1"/>
    <col min="7433" max="7433" width="3.85546875" style="10" customWidth="1"/>
    <col min="7434" max="7434" width="45.7109375" style="10" customWidth="1"/>
    <col min="7435" max="7437" width="0" style="10" hidden="1" customWidth="1"/>
    <col min="7438" max="7438" width="35.42578125" style="10" customWidth="1"/>
    <col min="7439" max="7439" width="25.85546875" style="10" customWidth="1"/>
    <col min="7440" max="7440" width="28.85546875" style="10" customWidth="1"/>
    <col min="7441" max="7441" width="30.42578125" style="10" customWidth="1"/>
    <col min="7442" max="7442" width="23.5703125" style="10" customWidth="1"/>
    <col min="7443" max="7443" width="24.42578125" style="10" customWidth="1"/>
    <col min="7444" max="7444" width="23" style="10" customWidth="1"/>
    <col min="7445" max="7445" width="26.85546875" style="10" customWidth="1"/>
    <col min="7446" max="7446" width="29" style="10" customWidth="1"/>
    <col min="7447" max="7447" width="34.140625" style="10" customWidth="1"/>
    <col min="7448" max="7448" width="29" style="10" customWidth="1"/>
    <col min="7449" max="7449" width="25" style="10" customWidth="1"/>
    <col min="7450" max="7450" width="36.28515625" style="10" customWidth="1"/>
    <col min="7451" max="7451" width="36.140625" style="10" customWidth="1"/>
    <col min="7452" max="7452" width="31.5703125" style="10" customWidth="1"/>
    <col min="7453" max="7453" width="0" style="10" hidden="1" customWidth="1"/>
    <col min="7454" max="7454" width="35.28515625" style="10" customWidth="1"/>
    <col min="7455" max="7455" width="31" style="10" customWidth="1"/>
    <col min="7456" max="7456" width="34.7109375" style="10" customWidth="1"/>
    <col min="7457" max="7457" width="31.42578125" style="10" customWidth="1"/>
    <col min="7458" max="7458" width="22.5703125" style="10" customWidth="1"/>
    <col min="7459" max="7462" width="0" style="10" hidden="1" customWidth="1"/>
    <col min="7463" max="7463" width="3" style="10" customWidth="1"/>
    <col min="7464" max="7464" width="26.85546875" style="10" customWidth="1"/>
    <col min="7465" max="7465" width="29.85546875" style="10" customWidth="1"/>
    <col min="7466" max="7466" width="32.7109375" style="10" customWidth="1"/>
    <col min="7467" max="7467" width="34.85546875" style="10" customWidth="1"/>
    <col min="7468" max="7468" width="30.42578125" style="10" customWidth="1"/>
    <col min="7469" max="7469" width="13.85546875" style="10" customWidth="1"/>
    <col min="7470" max="7470" width="39.42578125" style="10" customWidth="1"/>
    <col min="7471" max="7471" width="23.5703125" style="10" customWidth="1"/>
    <col min="7472" max="7680" width="11.42578125" style="10"/>
    <col min="7681" max="7681" width="3.85546875" style="10" customWidth="1"/>
    <col min="7682" max="7682" width="8.5703125" style="10" customWidth="1"/>
    <col min="7683" max="7683" width="8.140625" style="10" customWidth="1"/>
    <col min="7684" max="7687" width="3.85546875" style="10" customWidth="1"/>
    <col min="7688" max="7688" width="12.42578125" style="10" customWidth="1"/>
    <col min="7689" max="7689" width="3.85546875" style="10" customWidth="1"/>
    <col min="7690" max="7690" width="45.7109375" style="10" customWidth="1"/>
    <col min="7691" max="7693" width="0" style="10" hidden="1" customWidth="1"/>
    <col min="7694" max="7694" width="35.42578125" style="10" customWidth="1"/>
    <col min="7695" max="7695" width="25.85546875" style="10" customWidth="1"/>
    <col min="7696" max="7696" width="28.85546875" style="10" customWidth="1"/>
    <col min="7697" max="7697" width="30.42578125" style="10" customWidth="1"/>
    <col min="7698" max="7698" width="23.5703125" style="10" customWidth="1"/>
    <col min="7699" max="7699" width="24.42578125" style="10" customWidth="1"/>
    <col min="7700" max="7700" width="23" style="10" customWidth="1"/>
    <col min="7701" max="7701" width="26.85546875" style="10" customWidth="1"/>
    <col min="7702" max="7702" width="29" style="10" customWidth="1"/>
    <col min="7703" max="7703" width="34.140625" style="10" customWidth="1"/>
    <col min="7704" max="7704" width="29" style="10" customWidth="1"/>
    <col min="7705" max="7705" width="25" style="10" customWidth="1"/>
    <col min="7706" max="7706" width="36.28515625" style="10" customWidth="1"/>
    <col min="7707" max="7707" width="36.140625" style="10" customWidth="1"/>
    <col min="7708" max="7708" width="31.5703125" style="10" customWidth="1"/>
    <col min="7709" max="7709" width="0" style="10" hidden="1" customWidth="1"/>
    <col min="7710" max="7710" width="35.28515625" style="10" customWidth="1"/>
    <col min="7711" max="7711" width="31" style="10" customWidth="1"/>
    <col min="7712" max="7712" width="34.7109375" style="10" customWidth="1"/>
    <col min="7713" max="7713" width="31.42578125" style="10" customWidth="1"/>
    <col min="7714" max="7714" width="22.5703125" style="10" customWidth="1"/>
    <col min="7715" max="7718" width="0" style="10" hidden="1" customWidth="1"/>
    <col min="7719" max="7719" width="3" style="10" customWidth="1"/>
    <col min="7720" max="7720" width="26.85546875" style="10" customWidth="1"/>
    <col min="7721" max="7721" width="29.85546875" style="10" customWidth="1"/>
    <col min="7722" max="7722" width="32.7109375" style="10" customWidth="1"/>
    <col min="7723" max="7723" width="34.85546875" style="10" customWidth="1"/>
    <col min="7724" max="7724" width="30.42578125" style="10" customWidth="1"/>
    <col min="7725" max="7725" width="13.85546875" style="10" customWidth="1"/>
    <col min="7726" max="7726" width="39.42578125" style="10" customWidth="1"/>
    <col min="7727" max="7727" width="23.5703125" style="10" customWidth="1"/>
    <col min="7728" max="7936" width="11.42578125" style="10"/>
    <col min="7937" max="7937" width="3.85546875" style="10" customWidth="1"/>
    <col min="7938" max="7938" width="8.5703125" style="10" customWidth="1"/>
    <col min="7939" max="7939" width="8.140625" style="10" customWidth="1"/>
    <col min="7940" max="7943" width="3.85546875" style="10" customWidth="1"/>
    <col min="7944" max="7944" width="12.42578125" style="10" customWidth="1"/>
    <col min="7945" max="7945" width="3.85546875" style="10" customWidth="1"/>
    <col min="7946" max="7946" width="45.7109375" style="10" customWidth="1"/>
    <col min="7947" max="7949" width="0" style="10" hidden="1" customWidth="1"/>
    <col min="7950" max="7950" width="35.42578125" style="10" customWidth="1"/>
    <col min="7951" max="7951" width="25.85546875" style="10" customWidth="1"/>
    <col min="7952" max="7952" width="28.85546875" style="10" customWidth="1"/>
    <col min="7953" max="7953" width="30.42578125" style="10" customWidth="1"/>
    <col min="7954" max="7954" width="23.5703125" style="10" customWidth="1"/>
    <col min="7955" max="7955" width="24.42578125" style="10" customWidth="1"/>
    <col min="7956" max="7956" width="23" style="10" customWidth="1"/>
    <col min="7957" max="7957" width="26.85546875" style="10" customWidth="1"/>
    <col min="7958" max="7958" width="29" style="10" customWidth="1"/>
    <col min="7959" max="7959" width="34.140625" style="10" customWidth="1"/>
    <col min="7960" max="7960" width="29" style="10" customWidth="1"/>
    <col min="7961" max="7961" width="25" style="10" customWidth="1"/>
    <col min="7962" max="7962" width="36.28515625" style="10" customWidth="1"/>
    <col min="7963" max="7963" width="36.140625" style="10" customWidth="1"/>
    <col min="7964" max="7964" width="31.5703125" style="10" customWidth="1"/>
    <col min="7965" max="7965" width="0" style="10" hidden="1" customWidth="1"/>
    <col min="7966" max="7966" width="35.28515625" style="10" customWidth="1"/>
    <col min="7967" max="7967" width="31" style="10" customWidth="1"/>
    <col min="7968" max="7968" width="34.7109375" style="10" customWidth="1"/>
    <col min="7969" max="7969" width="31.42578125" style="10" customWidth="1"/>
    <col min="7970" max="7970" width="22.5703125" style="10" customWidth="1"/>
    <col min="7971" max="7974" width="0" style="10" hidden="1" customWidth="1"/>
    <col min="7975" max="7975" width="3" style="10" customWidth="1"/>
    <col min="7976" max="7976" width="26.85546875" style="10" customWidth="1"/>
    <col min="7977" max="7977" width="29.85546875" style="10" customWidth="1"/>
    <col min="7978" max="7978" width="32.7109375" style="10" customWidth="1"/>
    <col min="7979" max="7979" width="34.85546875" style="10" customWidth="1"/>
    <col min="7980" max="7980" width="30.42578125" style="10" customWidth="1"/>
    <col min="7981" max="7981" width="13.85546875" style="10" customWidth="1"/>
    <col min="7982" max="7982" width="39.42578125" style="10" customWidth="1"/>
    <col min="7983" max="7983" width="23.5703125" style="10" customWidth="1"/>
    <col min="7984" max="8192" width="11.42578125" style="10"/>
    <col min="8193" max="8193" width="3.85546875" style="10" customWidth="1"/>
    <col min="8194" max="8194" width="8.5703125" style="10" customWidth="1"/>
    <col min="8195" max="8195" width="8.140625" style="10" customWidth="1"/>
    <col min="8196" max="8199" width="3.85546875" style="10" customWidth="1"/>
    <col min="8200" max="8200" width="12.42578125" style="10" customWidth="1"/>
    <col min="8201" max="8201" width="3.85546875" style="10" customWidth="1"/>
    <col min="8202" max="8202" width="45.7109375" style="10" customWidth="1"/>
    <col min="8203" max="8205" width="0" style="10" hidden="1" customWidth="1"/>
    <col min="8206" max="8206" width="35.42578125" style="10" customWidth="1"/>
    <col min="8207" max="8207" width="25.85546875" style="10" customWidth="1"/>
    <col min="8208" max="8208" width="28.85546875" style="10" customWidth="1"/>
    <col min="8209" max="8209" width="30.42578125" style="10" customWidth="1"/>
    <col min="8210" max="8210" width="23.5703125" style="10" customWidth="1"/>
    <col min="8211" max="8211" width="24.42578125" style="10" customWidth="1"/>
    <col min="8212" max="8212" width="23" style="10" customWidth="1"/>
    <col min="8213" max="8213" width="26.85546875" style="10" customWidth="1"/>
    <col min="8214" max="8214" width="29" style="10" customWidth="1"/>
    <col min="8215" max="8215" width="34.140625" style="10" customWidth="1"/>
    <col min="8216" max="8216" width="29" style="10" customWidth="1"/>
    <col min="8217" max="8217" width="25" style="10" customWidth="1"/>
    <col min="8218" max="8218" width="36.28515625" style="10" customWidth="1"/>
    <col min="8219" max="8219" width="36.140625" style="10" customWidth="1"/>
    <col min="8220" max="8220" width="31.5703125" style="10" customWidth="1"/>
    <col min="8221" max="8221" width="0" style="10" hidden="1" customWidth="1"/>
    <col min="8222" max="8222" width="35.28515625" style="10" customWidth="1"/>
    <col min="8223" max="8223" width="31" style="10" customWidth="1"/>
    <col min="8224" max="8224" width="34.7109375" style="10" customWidth="1"/>
    <col min="8225" max="8225" width="31.42578125" style="10" customWidth="1"/>
    <col min="8226" max="8226" width="22.5703125" style="10" customWidth="1"/>
    <col min="8227" max="8230" width="0" style="10" hidden="1" customWidth="1"/>
    <col min="8231" max="8231" width="3" style="10" customWidth="1"/>
    <col min="8232" max="8232" width="26.85546875" style="10" customWidth="1"/>
    <col min="8233" max="8233" width="29.85546875" style="10" customWidth="1"/>
    <col min="8234" max="8234" width="32.7109375" style="10" customWidth="1"/>
    <col min="8235" max="8235" width="34.85546875" style="10" customWidth="1"/>
    <col min="8236" max="8236" width="30.42578125" style="10" customWidth="1"/>
    <col min="8237" max="8237" width="13.85546875" style="10" customWidth="1"/>
    <col min="8238" max="8238" width="39.42578125" style="10" customWidth="1"/>
    <col min="8239" max="8239" width="23.5703125" style="10" customWidth="1"/>
    <col min="8240" max="8448" width="11.42578125" style="10"/>
    <col min="8449" max="8449" width="3.85546875" style="10" customWidth="1"/>
    <col min="8450" max="8450" width="8.5703125" style="10" customWidth="1"/>
    <col min="8451" max="8451" width="8.140625" style="10" customWidth="1"/>
    <col min="8452" max="8455" width="3.85546875" style="10" customWidth="1"/>
    <col min="8456" max="8456" width="12.42578125" style="10" customWidth="1"/>
    <col min="8457" max="8457" width="3.85546875" style="10" customWidth="1"/>
    <col min="8458" max="8458" width="45.7109375" style="10" customWidth="1"/>
    <col min="8459" max="8461" width="0" style="10" hidden="1" customWidth="1"/>
    <col min="8462" max="8462" width="35.42578125" style="10" customWidth="1"/>
    <col min="8463" max="8463" width="25.85546875" style="10" customWidth="1"/>
    <col min="8464" max="8464" width="28.85546875" style="10" customWidth="1"/>
    <col min="8465" max="8465" width="30.42578125" style="10" customWidth="1"/>
    <col min="8466" max="8466" width="23.5703125" style="10" customWidth="1"/>
    <col min="8467" max="8467" width="24.42578125" style="10" customWidth="1"/>
    <col min="8468" max="8468" width="23" style="10" customWidth="1"/>
    <col min="8469" max="8469" width="26.85546875" style="10" customWidth="1"/>
    <col min="8470" max="8470" width="29" style="10" customWidth="1"/>
    <col min="8471" max="8471" width="34.140625" style="10" customWidth="1"/>
    <col min="8472" max="8472" width="29" style="10" customWidth="1"/>
    <col min="8473" max="8473" width="25" style="10" customWidth="1"/>
    <col min="8474" max="8474" width="36.28515625" style="10" customWidth="1"/>
    <col min="8475" max="8475" width="36.140625" style="10" customWidth="1"/>
    <col min="8476" max="8476" width="31.5703125" style="10" customWidth="1"/>
    <col min="8477" max="8477" width="0" style="10" hidden="1" customWidth="1"/>
    <col min="8478" max="8478" width="35.28515625" style="10" customWidth="1"/>
    <col min="8479" max="8479" width="31" style="10" customWidth="1"/>
    <col min="8480" max="8480" width="34.7109375" style="10" customWidth="1"/>
    <col min="8481" max="8481" width="31.42578125" style="10" customWidth="1"/>
    <col min="8482" max="8482" width="22.5703125" style="10" customWidth="1"/>
    <col min="8483" max="8486" width="0" style="10" hidden="1" customWidth="1"/>
    <col min="8487" max="8487" width="3" style="10" customWidth="1"/>
    <col min="8488" max="8488" width="26.85546875" style="10" customWidth="1"/>
    <col min="8489" max="8489" width="29.85546875" style="10" customWidth="1"/>
    <col min="8490" max="8490" width="32.7109375" style="10" customWidth="1"/>
    <col min="8491" max="8491" width="34.85546875" style="10" customWidth="1"/>
    <col min="8492" max="8492" width="30.42578125" style="10" customWidth="1"/>
    <col min="8493" max="8493" width="13.85546875" style="10" customWidth="1"/>
    <col min="8494" max="8494" width="39.42578125" style="10" customWidth="1"/>
    <col min="8495" max="8495" width="23.5703125" style="10" customWidth="1"/>
    <col min="8496" max="8704" width="11.42578125" style="10"/>
    <col min="8705" max="8705" width="3.85546875" style="10" customWidth="1"/>
    <col min="8706" max="8706" width="8.5703125" style="10" customWidth="1"/>
    <col min="8707" max="8707" width="8.140625" style="10" customWidth="1"/>
    <col min="8708" max="8711" width="3.85546875" style="10" customWidth="1"/>
    <col min="8712" max="8712" width="12.42578125" style="10" customWidth="1"/>
    <col min="8713" max="8713" width="3.85546875" style="10" customWidth="1"/>
    <col min="8714" max="8714" width="45.7109375" style="10" customWidth="1"/>
    <col min="8715" max="8717" width="0" style="10" hidden="1" customWidth="1"/>
    <col min="8718" max="8718" width="35.42578125" style="10" customWidth="1"/>
    <col min="8719" max="8719" width="25.85546875" style="10" customWidth="1"/>
    <col min="8720" max="8720" width="28.85546875" style="10" customWidth="1"/>
    <col min="8721" max="8721" width="30.42578125" style="10" customWidth="1"/>
    <col min="8722" max="8722" width="23.5703125" style="10" customWidth="1"/>
    <col min="8723" max="8723" width="24.42578125" style="10" customWidth="1"/>
    <col min="8724" max="8724" width="23" style="10" customWidth="1"/>
    <col min="8725" max="8725" width="26.85546875" style="10" customWidth="1"/>
    <col min="8726" max="8726" width="29" style="10" customWidth="1"/>
    <col min="8727" max="8727" width="34.140625" style="10" customWidth="1"/>
    <col min="8728" max="8728" width="29" style="10" customWidth="1"/>
    <col min="8729" max="8729" width="25" style="10" customWidth="1"/>
    <col min="8730" max="8730" width="36.28515625" style="10" customWidth="1"/>
    <col min="8731" max="8731" width="36.140625" style="10" customWidth="1"/>
    <col min="8732" max="8732" width="31.5703125" style="10" customWidth="1"/>
    <col min="8733" max="8733" width="0" style="10" hidden="1" customWidth="1"/>
    <col min="8734" max="8734" width="35.28515625" style="10" customWidth="1"/>
    <col min="8735" max="8735" width="31" style="10" customWidth="1"/>
    <col min="8736" max="8736" width="34.7109375" style="10" customWidth="1"/>
    <col min="8737" max="8737" width="31.42578125" style="10" customWidth="1"/>
    <col min="8738" max="8738" width="22.5703125" style="10" customWidth="1"/>
    <col min="8739" max="8742" width="0" style="10" hidden="1" customWidth="1"/>
    <col min="8743" max="8743" width="3" style="10" customWidth="1"/>
    <col min="8744" max="8744" width="26.85546875" style="10" customWidth="1"/>
    <col min="8745" max="8745" width="29.85546875" style="10" customWidth="1"/>
    <col min="8746" max="8746" width="32.7109375" style="10" customWidth="1"/>
    <col min="8747" max="8747" width="34.85546875" style="10" customWidth="1"/>
    <col min="8748" max="8748" width="30.42578125" style="10" customWidth="1"/>
    <col min="8749" max="8749" width="13.85546875" style="10" customWidth="1"/>
    <col min="8750" max="8750" width="39.42578125" style="10" customWidth="1"/>
    <col min="8751" max="8751" width="23.5703125" style="10" customWidth="1"/>
    <col min="8752" max="8960" width="11.42578125" style="10"/>
    <col min="8961" max="8961" width="3.85546875" style="10" customWidth="1"/>
    <col min="8962" max="8962" width="8.5703125" style="10" customWidth="1"/>
    <col min="8963" max="8963" width="8.140625" style="10" customWidth="1"/>
    <col min="8964" max="8967" width="3.85546875" style="10" customWidth="1"/>
    <col min="8968" max="8968" width="12.42578125" style="10" customWidth="1"/>
    <col min="8969" max="8969" width="3.85546875" style="10" customWidth="1"/>
    <col min="8970" max="8970" width="45.7109375" style="10" customWidth="1"/>
    <col min="8971" max="8973" width="0" style="10" hidden="1" customWidth="1"/>
    <col min="8974" max="8974" width="35.42578125" style="10" customWidth="1"/>
    <col min="8975" max="8975" width="25.85546875" style="10" customWidth="1"/>
    <col min="8976" max="8976" width="28.85546875" style="10" customWidth="1"/>
    <col min="8977" max="8977" width="30.42578125" style="10" customWidth="1"/>
    <col min="8978" max="8978" width="23.5703125" style="10" customWidth="1"/>
    <col min="8979" max="8979" width="24.42578125" style="10" customWidth="1"/>
    <col min="8980" max="8980" width="23" style="10" customWidth="1"/>
    <col min="8981" max="8981" width="26.85546875" style="10" customWidth="1"/>
    <col min="8982" max="8982" width="29" style="10" customWidth="1"/>
    <col min="8983" max="8983" width="34.140625" style="10" customWidth="1"/>
    <col min="8984" max="8984" width="29" style="10" customWidth="1"/>
    <col min="8985" max="8985" width="25" style="10" customWidth="1"/>
    <col min="8986" max="8986" width="36.28515625" style="10" customWidth="1"/>
    <col min="8987" max="8987" width="36.140625" style="10" customWidth="1"/>
    <col min="8988" max="8988" width="31.5703125" style="10" customWidth="1"/>
    <col min="8989" max="8989" width="0" style="10" hidden="1" customWidth="1"/>
    <col min="8990" max="8990" width="35.28515625" style="10" customWidth="1"/>
    <col min="8991" max="8991" width="31" style="10" customWidth="1"/>
    <col min="8992" max="8992" width="34.7109375" style="10" customWidth="1"/>
    <col min="8993" max="8993" width="31.42578125" style="10" customWidth="1"/>
    <col min="8994" max="8994" width="22.5703125" style="10" customWidth="1"/>
    <col min="8995" max="8998" width="0" style="10" hidden="1" customWidth="1"/>
    <col min="8999" max="8999" width="3" style="10" customWidth="1"/>
    <col min="9000" max="9000" width="26.85546875" style="10" customWidth="1"/>
    <col min="9001" max="9001" width="29.85546875" style="10" customWidth="1"/>
    <col min="9002" max="9002" width="32.7109375" style="10" customWidth="1"/>
    <col min="9003" max="9003" width="34.85546875" style="10" customWidth="1"/>
    <col min="9004" max="9004" width="30.42578125" style="10" customWidth="1"/>
    <col min="9005" max="9005" width="13.85546875" style="10" customWidth="1"/>
    <col min="9006" max="9006" width="39.42578125" style="10" customWidth="1"/>
    <col min="9007" max="9007" width="23.5703125" style="10" customWidth="1"/>
    <col min="9008" max="9216" width="11.42578125" style="10"/>
    <col min="9217" max="9217" width="3.85546875" style="10" customWidth="1"/>
    <col min="9218" max="9218" width="8.5703125" style="10" customWidth="1"/>
    <col min="9219" max="9219" width="8.140625" style="10" customWidth="1"/>
    <col min="9220" max="9223" width="3.85546875" style="10" customWidth="1"/>
    <col min="9224" max="9224" width="12.42578125" style="10" customWidth="1"/>
    <col min="9225" max="9225" width="3.85546875" style="10" customWidth="1"/>
    <col min="9226" max="9226" width="45.7109375" style="10" customWidth="1"/>
    <col min="9227" max="9229" width="0" style="10" hidden="1" customWidth="1"/>
    <col min="9230" max="9230" width="35.42578125" style="10" customWidth="1"/>
    <col min="9231" max="9231" width="25.85546875" style="10" customWidth="1"/>
    <col min="9232" max="9232" width="28.85546875" style="10" customWidth="1"/>
    <col min="9233" max="9233" width="30.42578125" style="10" customWidth="1"/>
    <col min="9234" max="9234" width="23.5703125" style="10" customWidth="1"/>
    <col min="9235" max="9235" width="24.42578125" style="10" customWidth="1"/>
    <col min="9236" max="9236" width="23" style="10" customWidth="1"/>
    <col min="9237" max="9237" width="26.85546875" style="10" customWidth="1"/>
    <col min="9238" max="9238" width="29" style="10" customWidth="1"/>
    <col min="9239" max="9239" width="34.140625" style="10" customWidth="1"/>
    <col min="9240" max="9240" width="29" style="10" customWidth="1"/>
    <col min="9241" max="9241" width="25" style="10" customWidth="1"/>
    <col min="9242" max="9242" width="36.28515625" style="10" customWidth="1"/>
    <col min="9243" max="9243" width="36.140625" style="10" customWidth="1"/>
    <col min="9244" max="9244" width="31.5703125" style="10" customWidth="1"/>
    <col min="9245" max="9245" width="0" style="10" hidden="1" customWidth="1"/>
    <col min="9246" max="9246" width="35.28515625" style="10" customWidth="1"/>
    <col min="9247" max="9247" width="31" style="10" customWidth="1"/>
    <col min="9248" max="9248" width="34.7109375" style="10" customWidth="1"/>
    <col min="9249" max="9249" width="31.42578125" style="10" customWidth="1"/>
    <col min="9250" max="9250" width="22.5703125" style="10" customWidth="1"/>
    <col min="9251" max="9254" width="0" style="10" hidden="1" customWidth="1"/>
    <col min="9255" max="9255" width="3" style="10" customWidth="1"/>
    <col min="9256" max="9256" width="26.85546875" style="10" customWidth="1"/>
    <col min="9257" max="9257" width="29.85546875" style="10" customWidth="1"/>
    <col min="9258" max="9258" width="32.7109375" style="10" customWidth="1"/>
    <col min="9259" max="9259" width="34.85546875" style="10" customWidth="1"/>
    <col min="9260" max="9260" width="30.42578125" style="10" customWidth="1"/>
    <col min="9261" max="9261" width="13.85546875" style="10" customWidth="1"/>
    <col min="9262" max="9262" width="39.42578125" style="10" customWidth="1"/>
    <col min="9263" max="9263" width="23.5703125" style="10" customWidth="1"/>
    <col min="9264" max="9472" width="11.42578125" style="10"/>
    <col min="9473" max="9473" width="3.85546875" style="10" customWidth="1"/>
    <col min="9474" max="9474" width="8.5703125" style="10" customWidth="1"/>
    <col min="9475" max="9475" width="8.140625" style="10" customWidth="1"/>
    <col min="9476" max="9479" width="3.85546875" style="10" customWidth="1"/>
    <col min="9480" max="9480" width="12.42578125" style="10" customWidth="1"/>
    <col min="9481" max="9481" width="3.85546875" style="10" customWidth="1"/>
    <col min="9482" max="9482" width="45.7109375" style="10" customWidth="1"/>
    <col min="9483" max="9485" width="0" style="10" hidden="1" customWidth="1"/>
    <col min="9486" max="9486" width="35.42578125" style="10" customWidth="1"/>
    <col min="9487" max="9487" width="25.85546875" style="10" customWidth="1"/>
    <col min="9488" max="9488" width="28.85546875" style="10" customWidth="1"/>
    <col min="9489" max="9489" width="30.42578125" style="10" customWidth="1"/>
    <col min="9490" max="9490" width="23.5703125" style="10" customWidth="1"/>
    <col min="9491" max="9491" width="24.42578125" style="10" customWidth="1"/>
    <col min="9492" max="9492" width="23" style="10" customWidth="1"/>
    <col min="9493" max="9493" width="26.85546875" style="10" customWidth="1"/>
    <col min="9494" max="9494" width="29" style="10" customWidth="1"/>
    <col min="9495" max="9495" width="34.140625" style="10" customWidth="1"/>
    <col min="9496" max="9496" width="29" style="10" customWidth="1"/>
    <col min="9497" max="9497" width="25" style="10" customWidth="1"/>
    <col min="9498" max="9498" width="36.28515625" style="10" customWidth="1"/>
    <col min="9499" max="9499" width="36.140625" style="10" customWidth="1"/>
    <col min="9500" max="9500" width="31.5703125" style="10" customWidth="1"/>
    <col min="9501" max="9501" width="0" style="10" hidden="1" customWidth="1"/>
    <col min="9502" max="9502" width="35.28515625" style="10" customWidth="1"/>
    <col min="9503" max="9503" width="31" style="10" customWidth="1"/>
    <col min="9504" max="9504" width="34.7109375" style="10" customWidth="1"/>
    <col min="9505" max="9505" width="31.42578125" style="10" customWidth="1"/>
    <col min="9506" max="9506" width="22.5703125" style="10" customWidth="1"/>
    <col min="9507" max="9510" width="0" style="10" hidden="1" customWidth="1"/>
    <col min="9511" max="9511" width="3" style="10" customWidth="1"/>
    <col min="9512" max="9512" width="26.85546875" style="10" customWidth="1"/>
    <col min="9513" max="9513" width="29.85546875" style="10" customWidth="1"/>
    <col min="9514" max="9514" width="32.7109375" style="10" customWidth="1"/>
    <col min="9515" max="9515" width="34.85546875" style="10" customWidth="1"/>
    <col min="9516" max="9516" width="30.42578125" style="10" customWidth="1"/>
    <col min="9517" max="9517" width="13.85546875" style="10" customWidth="1"/>
    <col min="9518" max="9518" width="39.42578125" style="10" customWidth="1"/>
    <col min="9519" max="9519" width="23.5703125" style="10" customWidth="1"/>
    <col min="9520" max="9728" width="11.42578125" style="10"/>
    <col min="9729" max="9729" width="3.85546875" style="10" customWidth="1"/>
    <col min="9730" max="9730" width="8.5703125" style="10" customWidth="1"/>
    <col min="9731" max="9731" width="8.140625" style="10" customWidth="1"/>
    <col min="9732" max="9735" width="3.85546875" style="10" customWidth="1"/>
    <col min="9736" max="9736" width="12.42578125" style="10" customWidth="1"/>
    <col min="9737" max="9737" width="3.85546875" style="10" customWidth="1"/>
    <col min="9738" max="9738" width="45.7109375" style="10" customWidth="1"/>
    <col min="9739" max="9741" width="0" style="10" hidden="1" customWidth="1"/>
    <col min="9742" max="9742" width="35.42578125" style="10" customWidth="1"/>
    <col min="9743" max="9743" width="25.85546875" style="10" customWidth="1"/>
    <col min="9744" max="9744" width="28.85546875" style="10" customWidth="1"/>
    <col min="9745" max="9745" width="30.42578125" style="10" customWidth="1"/>
    <col min="9746" max="9746" width="23.5703125" style="10" customWidth="1"/>
    <col min="9747" max="9747" width="24.42578125" style="10" customWidth="1"/>
    <col min="9748" max="9748" width="23" style="10" customWidth="1"/>
    <col min="9749" max="9749" width="26.85546875" style="10" customWidth="1"/>
    <col min="9750" max="9750" width="29" style="10" customWidth="1"/>
    <col min="9751" max="9751" width="34.140625" style="10" customWidth="1"/>
    <col min="9752" max="9752" width="29" style="10" customWidth="1"/>
    <col min="9753" max="9753" width="25" style="10" customWidth="1"/>
    <col min="9754" max="9754" width="36.28515625" style="10" customWidth="1"/>
    <col min="9755" max="9755" width="36.140625" style="10" customWidth="1"/>
    <col min="9756" max="9756" width="31.5703125" style="10" customWidth="1"/>
    <col min="9757" max="9757" width="0" style="10" hidden="1" customWidth="1"/>
    <col min="9758" max="9758" width="35.28515625" style="10" customWidth="1"/>
    <col min="9759" max="9759" width="31" style="10" customWidth="1"/>
    <col min="9760" max="9760" width="34.7109375" style="10" customWidth="1"/>
    <col min="9761" max="9761" width="31.42578125" style="10" customWidth="1"/>
    <col min="9762" max="9762" width="22.5703125" style="10" customWidth="1"/>
    <col min="9763" max="9766" width="0" style="10" hidden="1" customWidth="1"/>
    <col min="9767" max="9767" width="3" style="10" customWidth="1"/>
    <col min="9768" max="9768" width="26.85546875" style="10" customWidth="1"/>
    <col min="9769" max="9769" width="29.85546875" style="10" customWidth="1"/>
    <col min="9770" max="9770" width="32.7109375" style="10" customWidth="1"/>
    <col min="9771" max="9771" width="34.85546875" style="10" customWidth="1"/>
    <col min="9772" max="9772" width="30.42578125" style="10" customWidth="1"/>
    <col min="9773" max="9773" width="13.85546875" style="10" customWidth="1"/>
    <col min="9774" max="9774" width="39.42578125" style="10" customWidth="1"/>
    <col min="9775" max="9775" width="23.5703125" style="10" customWidth="1"/>
    <col min="9776" max="9984" width="11.42578125" style="10"/>
    <col min="9985" max="9985" width="3.85546875" style="10" customWidth="1"/>
    <col min="9986" max="9986" width="8.5703125" style="10" customWidth="1"/>
    <col min="9987" max="9987" width="8.140625" style="10" customWidth="1"/>
    <col min="9988" max="9991" width="3.85546875" style="10" customWidth="1"/>
    <col min="9992" max="9992" width="12.42578125" style="10" customWidth="1"/>
    <col min="9993" max="9993" width="3.85546875" style="10" customWidth="1"/>
    <col min="9994" max="9994" width="45.7109375" style="10" customWidth="1"/>
    <col min="9995" max="9997" width="0" style="10" hidden="1" customWidth="1"/>
    <col min="9998" max="9998" width="35.42578125" style="10" customWidth="1"/>
    <col min="9999" max="9999" width="25.85546875" style="10" customWidth="1"/>
    <col min="10000" max="10000" width="28.85546875" style="10" customWidth="1"/>
    <col min="10001" max="10001" width="30.42578125" style="10" customWidth="1"/>
    <col min="10002" max="10002" width="23.5703125" style="10" customWidth="1"/>
    <col min="10003" max="10003" width="24.42578125" style="10" customWidth="1"/>
    <col min="10004" max="10004" width="23" style="10" customWidth="1"/>
    <col min="10005" max="10005" width="26.85546875" style="10" customWidth="1"/>
    <col min="10006" max="10006" width="29" style="10" customWidth="1"/>
    <col min="10007" max="10007" width="34.140625" style="10" customWidth="1"/>
    <col min="10008" max="10008" width="29" style="10" customWidth="1"/>
    <col min="10009" max="10009" width="25" style="10" customWidth="1"/>
    <col min="10010" max="10010" width="36.28515625" style="10" customWidth="1"/>
    <col min="10011" max="10011" width="36.140625" style="10" customWidth="1"/>
    <col min="10012" max="10012" width="31.5703125" style="10" customWidth="1"/>
    <col min="10013" max="10013" width="0" style="10" hidden="1" customWidth="1"/>
    <col min="10014" max="10014" width="35.28515625" style="10" customWidth="1"/>
    <col min="10015" max="10015" width="31" style="10" customWidth="1"/>
    <col min="10016" max="10016" width="34.7109375" style="10" customWidth="1"/>
    <col min="10017" max="10017" width="31.42578125" style="10" customWidth="1"/>
    <col min="10018" max="10018" width="22.5703125" style="10" customWidth="1"/>
    <col min="10019" max="10022" width="0" style="10" hidden="1" customWidth="1"/>
    <col min="10023" max="10023" width="3" style="10" customWidth="1"/>
    <col min="10024" max="10024" width="26.85546875" style="10" customWidth="1"/>
    <col min="10025" max="10025" width="29.85546875" style="10" customWidth="1"/>
    <col min="10026" max="10026" width="32.7109375" style="10" customWidth="1"/>
    <col min="10027" max="10027" width="34.85546875" style="10" customWidth="1"/>
    <col min="10028" max="10028" width="30.42578125" style="10" customWidth="1"/>
    <col min="10029" max="10029" width="13.85546875" style="10" customWidth="1"/>
    <col min="10030" max="10030" width="39.42578125" style="10" customWidth="1"/>
    <col min="10031" max="10031" width="23.5703125" style="10" customWidth="1"/>
    <col min="10032" max="10240" width="11.42578125" style="10"/>
    <col min="10241" max="10241" width="3.85546875" style="10" customWidth="1"/>
    <col min="10242" max="10242" width="8.5703125" style="10" customWidth="1"/>
    <col min="10243" max="10243" width="8.140625" style="10" customWidth="1"/>
    <col min="10244" max="10247" width="3.85546875" style="10" customWidth="1"/>
    <col min="10248" max="10248" width="12.42578125" style="10" customWidth="1"/>
    <col min="10249" max="10249" width="3.85546875" style="10" customWidth="1"/>
    <col min="10250" max="10250" width="45.7109375" style="10" customWidth="1"/>
    <col min="10251" max="10253" width="0" style="10" hidden="1" customWidth="1"/>
    <col min="10254" max="10254" width="35.42578125" style="10" customWidth="1"/>
    <col min="10255" max="10255" width="25.85546875" style="10" customWidth="1"/>
    <col min="10256" max="10256" width="28.85546875" style="10" customWidth="1"/>
    <col min="10257" max="10257" width="30.42578125" style="10" customWidth="1"/>
    <col min="10258" max="10258" width="23.5703125" style="10" customWidth="1"/>
    <col min="10259" max="10259" width="24.42578125" style="10" customWidth="1"/>
    <col min="10260" max="10260" width="23" style="10" customWidth="1"/>
    <col min="10261" max="10261" width="26.85546875" style="10" customWidth="1"/>
    <col min="10262" max="10262" width="29" style="10" customWidth="1"/>
    <col min="10263" max="10263" width="34.140625" style="10" customWidth="1"/>
    <col min="10264" max="10264" width="29" style="10" customWidth="1"/>
    <col min="10265" max="10265" width="25" style="10" customWidth="1"/>
    <col min="10266" max="10266" width="36.28515625" style="10" customWidth="1"/>
    <col min="10267" max="10267" width="36.140625" style="10" customWidth="1"/>
    <col min="10268" max="10268" width="31.5703125" style="10" customWidth="1"/>
    <col min="10269" max="10269" width="0" style="10" hidden="1" customWidth="1"/>
    <col min="10270" max="10270" width="35.28515625" style="10" customWidth="1"/>
    <col min="10271" max="10271" width="31" style="10" customWidth="1"/>
    <col min="10272" max="10272" width="34.7109375" style="10" customWidth="1"/>
    <col min="10273" max="10273" width="31.42578125" style="10" customWidth="1"/>
    <col min="10274" max="10274" width="22.5703125" style="10" customWidth="1"/>
    <col min="10275" max="10278" width="0" style="10" hidden="1" customWidth="1"/>
    <col min="10279" max="10279" width="3" style="10" customWidth="1"/>
    <col min="10280" max="10280" width="26.85546875" style="10" customWidth="1"/>
    <col min="10281" max="10281" width="29.85546875" style="10" customWidth="1"/>
    <col min="10282" max="10282" width="32.7109375" style="10" customWidth="1"/>
    <col min="10283" max="10283" width="34.85546875" style="10" customWidth="1"/>
    <col min="10284" max="10284" width="30.42578125" style="10" customWidth="1"/>
    <col min="10285" max="10285" width="13.85546875" style="10" customWidth="1"/>
    <col min="10286" max="10286" width="39.42578125" style="10" customWidth="1"/>
    <col min="10287" max="10287" width="23.5703125" style="10" customWidth="1"/>
    <col min="10288" max="10496" width="11.42578125" style="10"/>
    <col min="10497" max="10497" width="3.85546875" style="10" customWidth="1"/>
    <col min="10498" max="10498" width="8.5703125" style="10" customWidth="1"/>
    <col min="10499" max="10499" width="8.140625" style="10" customWidth="1"/>
    <col min="10500" max="10503" width="3.85546875" style="10" customWidth="1"/>
    <col min="10504" max="10504" width="12.42578125" style="10" customWidth="1"/>
    <col min="10505" max="10505" width="3.85546875" style="10" customWidth="1"/>
    <col min="10506" max="10506" width="45.7109375" style="10" customWidth="1"/>
    <col min="10507" max="10509" width="0" style="10" hidden="1" customWidth="1"/>
    <col min="10510" max="10510" width="35.42578125" style="10" customWidth="1"/>
    <col min="10511" max="10511" width="25.85546875" style="10" customWidth="1"/>
    <col min="10512" max="10512" width="28.85546875" style="10" customWidth="1"/>
    <col min="10513" max="10513" width="30.42578125" style="10" customWidth="1"/>
    <col min="10514" max="10514" width="23.5703125" style="10" customWidth="1"/>
    <col min="10515" max="10515" width="24.42578125" style="10" customWidth="1"/>
    <col min="10516" max="10516" width="23" style="10" customWidth="1"/>
    <col min="10517" max="10517" width="26.85546875" style="10" customWidth="1"/>
    <col min="10518" max="10518" width="29" style="10" customWidth="1"/>
    <col min="10519" max="10519" width="34.140625" style="10" customWidth="1"/>
    <col min="10520" max="10520" width="29" style="10" customWidth="1"/>
    <col min="10521" max="10521" width="25" style="10" customWidth="1"/>
    <col min="10522" max="10522" width="36.28515625" style="10" customWidth="1"/>
    <col min="10523" max="10523" width="36.140625" style="10" customWidth="1"/>
    <col min="10524" max="10524" width="31.5703125" style="10" customWidth="1"/>
    <col min="10525" max="10525" width="0" style="10" hidden="1" customWidth="1"/>
    <col min="10526" max="10526" width="35.28515625" style="10" customWidth="1"/>
    <col min="10527" max="10527" width="31" style="10" customWidth="1"/>
    <col min="10528" max="10528" width="34.7109375" style="10" customWidth="1"/>
    <col min="10529" max="10529" width="31.42578125" style="10" customWidth="1"/>
    <col min="10530" max="10530" width="22.5703125" style="10" customWidth="1"/>
    <col min="10531" max="10534" width="0" style="10" hidden="1" customWidth="1"/>
    <col min="10535" max="10535" width="3" style="10" customWidth="1"/>
    <col min="10536" max="10536" width="26.85546875" style="10" customWidth="1"/>
    <col min="10537" max="10537" width="29.85546875" style="10" customWidth="1"/>
    <col min="10538" max="10538" width="32.7109375" style="10" customWidth="1"/>
    <col min="10539" max="10539" width="34.85546875" style="10" customWidth="1"/>
    <col min="10540" max="10540" width="30.42578125" style="10" customWidth="1"/>
    <col min="10541" max="10541" width="13.85546875" style="10" customWidth="1"/>
    <col min="10542" max="10542" width="39.42578125" style="10" customWidth="1"/>
    <col min="10543" max="10543" width="23.5703125" style="10" customWidth="1"/>
    <col min="10544" max="10752" width="11.42578125" style="10"/>
    <col min="10753" max="10753" width="3.85546875" style="10" customWidth="1"/>
    <col min="10754" max="10754" width="8.5703125" style="10" customWidth="1"/>
    <col min="10755" max="10755" width="8.140625" style="10" customWidth="1"/>
    <col min="10756" max="10759" width="3.85546875" style="10" customWidth="1"/>
    <col min="10760" max="10760" width="12.42578125" style="10" customWidth="1"/>
    <col min="10761" max="10761" width="3.85546875" style="10" customWidth="1"/>
    <col min="10762" max="10762" width="45.7109375" style="10" customWidth="1"/>
    <col min="10763" max="10765" width="0" style="10" hidden="1" customWidth="1"/>
    <col min="10766" max="10766" width="35.42578125" style="10" customWidth="1"/>
    <col min="10767" max="10767" width="25.85546875" style="10" customWidth="1"/>
    <col min="10768" max="10768" width="28.85546875" style="10" customWidth="1"/>
    <col min="10769" max="10769" width="30.42578125" style="10" customWidth="1"/>
    <col min="10770" max="10770" width="23.5703125" style="10" customWidth="1"/>
    <col min="10771" max="10771" width="24.42578125" style="10" customWidth="1"/>
    <col min="10772" max="10772" width="23" style="10" customWidth="1"/>
    <col min="10773" max="10773" width="26.85546875" style="10" customWidth="1"/>
    <col min="10774" max="10774" width="29" style="10" customWidth="1"/>
    <col min="10775" max="10775" width="34.140625" style="10" customWidth="1"/>
    <col min="10776" max="10776" width="29" style="10" customWidth="1"/>
    <col min="10777" max="10777" width="25" style="10" customWidth="1"/>
    <col min="10778" max="10778" width="36.28515625" style="10" customWidth="1"/>
    <col min="10779" max="10779" width="36.140625" style="10" customWidth="1"/>
    <col min="10780" max="10780" width="31.5703125" style="10" customWidth="1"/>
    <col min="10781" max="10781" width="0" style="10" hidden="1" customWidth="1"/>
    <col min="10782" max="10782" width="35.28515625" style="10" customWidth="1"/>
    <col min="10783" max="10783" width="31" style="10" customWidth="1"/>
    <col min="10784" max="10784" width="34.7109375" style="10" customWidth="1"/>
    <col min="10785" max="10785" width="31.42578125" style="10" customWidth="1"/>
    <col min="10786" max="10786" width="22.5703125" style="10" customWidth="1"/>
    <col min="10787" max="10790" width="0" style="10" hidden="1" customWidth="1"/>
    <col min="10791" max="10791" width="3" style="10" customWidth="1"/>
    <col min="10792" max="10792" width="26.85546875" style="10" customWidth="1"/>
    <col min="10793" max="10793" width="29.85546875" style="10" customWidth="1"/>
    <col min="10794" max="10794" width="32.7109375" style="10" customWidth="1"/>
    <col min="10795" max="10795" width="34.85546875" style="10" customWidth="1"/>
    <col min="10796" max="10796" width="30.42578125" style="10" customWidth="1"/>
    <col min="10797" max="10797" width="13.85546875" style="10" customWidth="1"/>
    <col min="10798" max="10798" width="39.42578125" style="10" customWidth="1"/>
    <col min="10799" max="10799" width="23.5703125" style="10" customWidth="1"/>
    <col min="10800" max="11008" width="11.42578125" style="10"/>
    <col min="11009" max="11009" width="3.85546875" style="10" customWidth="1"/>
    <col min="11010" max="11010" width="8.5703125" style="10" customWidth="1"/>
    <col min="11011" max="11011" width="8.140625" style="10" customWidth="1"/>
    <col min="11012" max="11015" width="3.85546875" style="10" customWidth="1"/>
    <col min="11016" max="11016" width="12.42578125" style="10" customWidth="1"/>
    <col min="11017" max="11017" width="3.85546875" style="10" customWidth="1"/>
    <col min="11018" max="11018" width="45.7109375" style="10" customWidth="1"/>
    <col min="11019" max="11021" width="0" style="10" hidden="1" customWidth="1"/>
    <col min="11022" max="11022" width="35.42578125" style="10" customWidth="1"/>
    <col min="11023" max="11023" width="25.85546875" style="10" customWidth="1"/>
    <col min="11024" max="11024" width="28.85546875" style="10" customWidth="1"/>
    <col min="11025" max="11025" width="30.42578125" style="10" customWidth="1"/>
    <col min="11026" max="11026" width="23.5703125" style="10" customWidth="1"/>
    <col min="11027" max="11027" width="24.42578125" style="10" customWidth="1"/>
    <col min="11028" max="11028" width="23" style="10" customWidth="1"/>
    <col min="11029" max="11029" width="26.85546875" style="10" customWidth="1"/>
    <col min="11030" max="11030" width="29" style="10" customWidth="1"/>
    <col min="11031" max="11031" width="34.140625" style="10" customWidth="1"/>
    <col min="11032" max="11032" width="29" style="10" customWidth="1"/>
    <col min="11033" max="11033" width="25" style="10" customWidth="1"/>
    <col min="11034" max="11034" width="36.28515625" style="10" customWidth="1"/>
    <col min="11035" max="11035" width="36.140625" style="10" customWidth="1"/>
    <col min="11036" max="11036" width="31.5703125" style="10" customWidth="1"/>
    <col min="11037" max="11037" width="0" style="10" hidden="1" customWidth="1"/>
    <col min="11038" max="11038" width="35.28515625" style="10" customWidth="1"/>
    <col min="11039" max="11039" width="31" style="10" customWidth="1"/>
    <col min="11040" max="11040" width="34.7109375" style="10" customWidth="1"/>
    <col min="11041" max="11041" width="31.42578125" style="10" customWidth="1"/>
    <col min="11042" max="11042" width="22.5703125" style="10" customWidth="1"/>
    <col min="11043" max="11046" width="0" style="10" hidden="1" customWidth="1"/>
    <col min="11047" max="11047" width="3" style="10" customWidth="1"/>
    <col min="11048" max="11048" width="26.85546875" style="10" customWidth="1"/>
    <col min="11049" max="11049" width="29.85546875" style="10" customWidth="1"/>
    <col min="11050" max="11050" width="32.7109375" style="10" customWidth="1"/>
    <col min="11051" max="11051" width="34.85546875" style="10" customWidth="1"/>
    <col min="11052" max="11052" width="30.42578125" style="10" customWidth="1"/>
    <col min="11053" max="11053" width="13.85546875" style="10" customWidth="1"/>
    <col min="11054" max="11054" width="39.42578125" style="10" customWidth="1"/>
    <col min="11055" max="11055" width="23.5703125" style="10" customWidth="1"/>
    <col min="11056" max="11264" width="11.42578125" style="10"/>
    <col min="11265" max="11265" width="3.85546875" style="10" customWidth="1"/>
    <col min="11266" max="11266" width="8.5703125" style="10" customWidth="1"/>
    <col min="11267" max="11267" width="8.140625" style="10" customWidth="1"/>
    <col min="11268" max="11271" width="3.85546875" style="10" customWidth="1"/>
    <col min="11272" max="11272" width="12.42578125" style="10" customWidth="1"/>
    <col min="11273" max="11273" width="3.85546875" style="10" customWidth="1"/>
    <col min="11274" max="11274" width="45.7109375" style="10" customWidth="1"/>
    <col min="11275" max="11277" width="0" style="10" hidden="1" customWidth="1"/>
    <col min="11278" max="11278" width="35.42578125" style="10" customWidth="1"/>
    <col min="11279" max="11279" width="25.85546875" style="10" customWidth="1"/>
    <col min="11280" max="11280" width="28.85546875" style="10" customWidth="1"/>
    <col min="11281" max="11281" width="30.42578125" style="10" customWidth="1"/>
    <col min="11282" max="11282" width="23.5703125" style="10" customWidth="1"/>
    <col min="11283" max="11283" width="24.42578125" style="10" customWidth="1"/>
    <col min="11284" max="11284" width="23" style="10" customWidth="1"/>
    <col min="11285" max="11285" width="26.85546875" style="10" customWidth="1"/>
    <col min="11286" max="11286" width="29" style="10" customWidth="1"/>
    <col min="11287" max="11287" width="34.140625" style="10" customWidth="1"/>
    <col min="11288" max="11288" width="29" style="10" customWidth="1"/>
    <col min="11289" max="11289" width="25" style="10" customWidth="1"/>
    <col min="11290" max="11290" width="36.28515625" style="10" customWidth="1"/>
    <col min="11291" max="11291" width="36.140625" style="10" customWidth="1"/>
    <col min="11292" max="11292" width="31.5703125" style="10" customWidth="1"/>
    <col min="11293" max="11293" width="0" style="10" hidden="1" customWidth="1"/>
    <col min="11294" max="11294" width="35.28515625" style="10" customWidth="1"/>
    <col min="11295" max="11295" width="31" style="10" customWidth="1"/>
    <col min="11296" max="11296" width="34.7109375" style="10" customWidth="1"/>
    <col min="11297" max="11297" width="31.42578125" style="10" customWidth="1"/>
    <col min="11298" max="11298" width="22.5703125" style="10" customWidth="1"/>
    <col min="11299" max="11302" width="0" style="10" hidden="1" customWidth="1"/>
    <col min="11303" max="11303" width="3" style="10" customWidth="1"/>
    <col min="11304" max="11304" width="26.85546875" style="10" customWidth="1"/>
    <col min="11305" max="11305" width="29.85546875" style="10" customWidth="1"/>
    <col min="11306" max="11306" width="32.7109375" style="10" customWidth="1"/>
    <col min="11307" max="11307" width="34.85546875" style="10" customWidth="1"/>
    <col min="11308" max="11308" width="30.42578125" style="10" customWidth="1"/>
    <col min="11309" max="11309" width="13.85546875" style="10" customWidth="1"/>
    <col min="11310" max="11310" width="39.42578125" style="10" customWidth="1"/>
    <col min="11311" max="11311" width="23.5703125" style="10" customWidth="1"/>
    <col min="11312" max="11520" width="11.42578125" style="10"/>
    <col min="11521" max="11521" width="3.85546875" style="10" customWidth="1"/>
    <col min="11522" max="11522" width="8.5703125" style="10" customWidth="1"/>
    <col min="11523" max="11523" width="8.140625" style="10" customWidth="1"/>
    <col min="11524" max="11527" width="3.85546875" style="10" customWidth="1"/>
    <col min="11528" max="11528" width="12.42578125" style="10" customWidth="1"/>
    <col min="11529" max="11529" width="3.85546875" style="10" customWidth="1"/>
    <col min="11530" max="11530" width="45.7109375" style="10" customWidth="1"/>
    <col min="11531" max="11533" width="0" style="10" hidden="1" customWidth="1"/>
    <col min="11534" max="11534" width="35.42578125" style="10" customWidth="1"/>
    <col min="11535" max="11535" width="25.85546875" style="10" customWidth="1"/>
    <col min="11536" max="11536" width="28.85546875" style="10" customWidth="1"/>
    <col min="11537" max="11537" width="30.42578125" style="10" customWidth="1"/>
    <col min="11538" max="11538" width="23.5703125" style="10" customWidth="1"/>
    <col min="11539" max="11539" width="24.42578125" style="10" customWidth="1"/>
    <col min="11540" max="11540" width="23" style="10" customWidth="1"/>
    <col min="11541" max="11541" width="26.85546875" style="10" customWidth="1"/>
    <col min="11542" max="11542" width="29" style="10" customWidth="1"/>
    <col min="11543" max="11543" width="34.140625" style="10" customWidth="1"/>
    <col min="11544" max="11544" width="29" style="10" customWidth="1"/>
    <col min="11545" max="11545" width="25" style="10" customWidth="1"/>
    <col min="11546" max="11546" width="36.28515625" style="10" customWidth="1"/>
    <col min="11547" max="11547" width="36.140625" style="10" customWidth="1"/>
    <col min="11548" max="11548" width="31.5703125" style="10" customWidth="1"/>
    <col min="11549" max="11549" width="0" style="10" hidden="1" customWidth="1"/>
    <col min="11550" max="11550" width="35.28515625" style="10" customWidth="1"/>
    <col min="11551" max="11551" width="31" style="10" customWidth="1"/>
    <col min="11552" max="11552" width="34.7109375" style="10" customWidth="1"/>
    <col min="11553" max="11553" width="31.42578125" style="10" customWidth="1"/>
    <col min="11554" max="11554" width="22.5703125" style="10" customWidth="1"/>
    <col min="11555" max="11558" width="0" style="10" hidden="1" customWidth="1"/>
    <col min="11559" max="11559" width="3" style="10" customWidth="1"/>
    <col min="11560" max="11560" width="26.85546875" style="10" customWidth="1"/>
    <col min="11561" max="11561" width="29.85546875" style="10" customWidth="1"/>
    <col min="11562" max="11562" width="32.7109375" style="10" customWidth="1"/>
    <col min="11563" max="11563" width="34.85546875" style="10" customWidth="1"/>
    <col min="11564" max="11564" width="30.42578125" style="10" customWidth="1"/>
    <col min="11565" max="11565" width="13.85546875" style="10" customWidth="1"/>
    <col min="11566" max="11566" width="39.42578125" style="10" customWidth="1"/>
    <col min="11567" max="11567" width="23.5703125" style="10" customWidth="1"/>
    <col min="11568" max="11776" width="11.42578125" style="10"/>
    <col min="11777" max="11777" width="3.85546875" style="10" customWidth="1"/>
    <col min="11778" max="11778" width="8.5703125" style="10" customWidth="1"/>
    <col min="11779" max="11779" width="8.140625" style="10" customWidth="1"/>
    <col min="11780" max="11783" width="3.85546875" style="10" customWidth="1"/>
    <col min="11784" max="11784" width="12.42578125" style="10" customWidth="1"/>
    <col min="11785" max="11785" width="3.85546875" style="10" customWidth="1"/>
    <col min="11786" max="11786" width="45.7109375" style="10" customWidth="1"/>
    <col min="11787" max="11789" width="0" style="10" hidden="1" customWidth="1"/>
    <col min="11790" max="11790" width="35.42578125" style="10" customWidth="1"/>
    <col min="11791" max="11791" width="25.85546875" style="10" customWidth="1"/>
    <col min="11792" max="11792" width="28.85546875" style="10" customWidth="1"/>
    <col min="11793" max="11793" width="30.42578125" style="10" customWidth="1"/>
    <col min="11794" max="11794" width="23.5703125" style="10" customWidth="1"/>
    <col min="11795" max="11795" width="24.42578125" style="10" customWidth="1"/>
    <col min="11796" max="11796" width="23" style="10" customWidth="1"/>
    <col min="11797" max="11797" width="26.85546875" style="10" customWidth="1"/>
    <col min="11798" max="11798" width="29" style="10" customWidth="1"/>
    <col min="11799" max="11799" width="34.140625" style="10" customWidth="1"/>
    <col min="11800" max="11800" width="29" style="10" customWidth="1"/>
    <col min="11801" max="11801" width="25" style="10" customWidth="1"/>
    <col min="11802" max="11802" width="36.28515625" style="10" customWidth="1"/>
    <col min="11803" max="11803" width="36.140625" style="10" customWidth="1"/>
    <col min="11804" max="11804" width="31.5703125" style="10" customWidth="1"/>
    <col min="11805" max="11805" width="0" style="10" hidden="1" customWidth="1"/>
    <col min="11806" max="11806" width="35.28515625" style="10" customWidth="1"/>
    <col min="11807" max="11807" width="31" style="10" customWidth="1"/>
    <col min="11808" max="11808" width="34.7109375" style="10" customWidth="1"/>
    <col min="11809" max="11809" width="31.42578125" style="10" customWidth="1"/>
    <col min="11810" max="11810" width="22.5703125" style="10" customWidth="1"/>
    <col min="11811" max="11814" width="0" style="10" hidden="1" customWidth="1"/>
    <col min="11815" max="11815" width="3" style="10" customWidth="1"/>
    <col min="11816" max="11816" width="26.85546875" style="10" customWidth="1"/>
    <col min="11817" max="11817" width="29.85546875" style="10" customWidth="1"/>
    <col min="11818" max="11818" width="32.7109375" style="10" customWidth="1"/>
    <col min="11819" max="11819" width="34.85546875" style="10" customWidth="1"/>
    <col min="11820" max="11820" width="30.42578125" style="10" customWidth="1"/>
    <col min="11821" max="11821" width="13.85546875" style="10" customWidth="1"/>
    <col min="11822" max="11822" width="39.42578125" style="10" customWidth="1"/>
    <col min="11823" max="11823" width="23.5703125" style="10" customWidth="1"/>
    <col min="11824" max="12032" width="11.42578125" style="10"/>
    <col min="12033" max="12033" width="3.85546875" style="10" customWidth="1"/>
    <col min="12034" max="12034" width="8.5703125" style="10" customWidth="1"/>
    <col min="12035" max="12035" width="8.140625" style="10" customWidth="1"/>
    <col min="12036" max="12039" width="3.85546875" style="10" customWidth="1"/>
    <col min="12040" max="12040" width="12.42578125" style="10" customWidth="1"/>
    <col min="12041" max="12041" width="3.85546875" style="10" customWidth="1"/>
    <col min="12042" max="12042" width="45.7109375" style="10" customWidth="1"/>
    <col min="12043" max="12045" width="0" style="10" hidden="1" customWidth="1"/>
    <col min="12046" max="12046" width="35.42578125" style="10" customWidth="1"/>
    <col min="12047" max="12047" width="25.85546875" style="10" customWidth="1"/>
    <col min="12048" max="12048" width="28.85546875" style="10" customWidth="1"/>
    <col min="12049" max="12049" width="30.42578125" style="10" customWidth="1"/>
    <col min="12050" max="12050" width="23.5703125" style="10" customWidth="1"/>
    <col min="12051" max="12051" width="24.42578125" style="10" customWidth="1"/>
    <col min="12052" max="12052" width="23" style="10" customWidth="1"/>
    <col min="12053" max="12053" width="26.85546875" style="10" customWidth="1"/>
    <col min="12054" max="12054" width="29" style="10" customWidth="1"/>
    <col min="12055" max="12055" width="34.140625" style="10" customWidth="1"/>
    <col min="12056" max="12056" width="29" style="10" customWidth="1"/>
    <col min="12057" max="12057" width="25" style="10" customWidth="1"/>
    <col min="12058" max="12058" width="36.28515625" style="10" customWidth="1"/>
    <col min="12059" max="12059" width="36.140625" style="10" customWidth="1"/>
    <col min="12060" max="12060" width="31.5703125" style="10" customWidth="1"/>
    <col min="12061" max="12061" width="0" style="10" hidden="1" customWidth="1"/>
    <col min="12062" max="12062" width="35.28515625" style="10" customWidth="1"/>
    <col min="12063" max="12063" width="31" style="10" customWidth="1"/>
    <col min="12064" max="12064" width="34.7109375" style="10" customWidth="1"/>
    <col min="12065" max="12065" width="31.42578125" style="10" customWidth="1"/>
    <col min="12066" max="12066" width="22.5703125" style="10" customWidth="1"/>
    <col min="12067" max="12070" width="0" style="10" hidden="1" customWidth="1"/>
    <col min="12071" max="12071" width="3" style="10" customWidth="1"/>
    <col min="12072" max="12072" width="26.85546875" style="10" customWidth="1"/>
    <col min="12073" max="12073" width="29.85546875" style="10" customWidth="1"/>
    <col min="12074" max="12074" width="32.7109375" style="10" customWidth="1"/>
    <col min="12075" max="12075" width="34.85546875" style="10" customWidth="1"/>
    <col min="12076" max="12076" width="30.42578125" style="10" customWidth="1"/>
    <col min="12077" max="12077" width="13.85546875" style="10" customWidth="1"/>
    <col min="12078" max="12078" width="39.42578125" style="10" customWidth="1"/>
    <col min="12079" max="12079" width="23.5703125" style="10" customWidth="1"/>
    <col min="12080" max="12288" width="11.42578125" style="10"/>
    <col min="12289" max="12289" width="3.85546875" style="10" customWidth="1"/>
    <col min="12290" max="12290" width="8.5703125" style="10" customWidth="1"/>
    <col min="12291" max="12291" width="8.140625" style="10" customWidth="1"/>
    <col min="12292" max="12295" width="3.85546875" style="10" customWidth="1"/>
    <col min="12296" max="12296" width="12.42578125" style="10" customWidth="1"/>
    <col min="12297" max="12297" width="3.85546875" style="10" customWidth="1"/>
    <col min="12298" max="12298" width="45.7109375" style="10" customWidth="1"/>
    <col min="12299" max="12301" width="0" style="10" hidden="1" customWidth="1"/>
    <col min="12302" max="12302" width="35.42578125" style="10" customWidth="1"/>
    <col min="12303" max="12303" width="25.85546875" style="10" customWidth="1"/>
    <col min="12304" max="12304" width="28.85546875" style="10" customWidth="1"/>
    <col min="12305" max="12305" width="30.42578125" style="10" customWidth="1"/>
    <col min="12306" max="12306" width="23.5703125" style="10" customWidth="1"/>
    <col min="12307" max="12307" width="24.42578125" style="10" customWidth="1"/>
    <col min="12308" max="12308" width="23" style="10" customWidth="1"/>
    <col min="12309" max="12309" width="26.85546875" style="10" customWidth="1"/>
    <col min="12310" max="12310" width="29" style="10" customWidth="1"/>
    <col min="12311" max="12311" width="34.140625" style="10" customWidth="1"/>
    <col min="12312" max="12312" width="29" style="10" customWidth="1"/>
    <col min="12313" max="12313" width="25" style="10" customWidth="1"/>
    <col min="12314" max="12314" width="36.28515625" style="10" customWidth="1"/>
    <col min="12315" max="12315" width="36.140625" style="10" customWidth="1"/>
    <col min="12316" max="12316" width="31.5703125" style="10" customWidth="1"/>
    <col min="12317" max="12317" width="0" style="10" hidden="1" customWidth="1"/>
    <col min="12318" max="12318" width="35.28515625" style="10" customWidth="1"/>
    <col min="12319" max="12319" width="31" style="10" customWidth="1"/>
    <col min="12320" max="12320" width="34.7109375" style="10" customWidth="1"/>
    <col min="12321" max="12321" width="31.42578125" style="10" customWidth="1"/>
    <col min="12322" max="12322" width="22.5703125" style="10" customWidth="1"/>
    <col min="12323" max="12326" width="0" style="10" hidden="1" customWidth="1"/>
    <col min="12327" max="12327" width="3" style="10" customWidth="1"/>
    <col min="12328" max="12328" width="26.85546875" style="10" customWidth="1"/>
    <col min="12329" max="12329" width="29.85546875" style="10" customWidth="1"/>
    <col min="12330" max="12330" width="32.7109375" style="10" customWidth="1"/>
    <col min="12331" max="12331" width="34.85546875" style="10" customWidth="1"/>
    <col min="12332" max="12332" width="30.42578125" style="10" customWidth="1"/>
    <col min="12333" max="12333" width="13.85546875" style="10" customWidth="1"/>
    <col min="12334" max="12334" width="39.42578125" style="10" customWidth="1"/>
    <col min="12335" max="12335" width="23.5703125" style="10" customWidth="1"/>
    <col min="12336" max="12544" width="11.42578125" style="10"/>
    <col min="12545" max="12545" width="3.85546875" style="10" customWidth="1"/>
    <col min="12546" max="12546" width="8.5703125" style="10" customWidth="1"/>
    <col min="12547" max="12547" width="8.140625" style="10" customWidth="1"/>
    <col min="12548" max="12551" width="3.85546875" style="10" customWidth="1"/>
    <col min="12552" max="12552" width="12.42578125" style="10" customWidth="1"/>
    <col min="12553" max="12553" width="3.85546875" style="10" customWidth="1"/>
    <col min="12554" max="12554" width="45.7109375" style="10" customWidth="1"/>
    <col min="12555" max="12557" width="0" style="10" hidden="1" customWidth="1"/>
    <col min="12558" max="12558" width="35.42578125" style="10" customWidth="1"/>
    <col min="12559" max="12559" width="25.85546875" style="10" customWidth="1"/>
    <col min="12560" max="12560" width="28.85546875" style="10" customWidth="1"/>
    <col min="12561" max="12561" width="30.42578125" style="10" customWidth="1"/>
    <col min="12562" max="12562" width="23.5703125" style="10" customWidth="1"/>
    <col min="12563" max="12563" width="24.42578125" style="10" customWidth="1"/>
    <col min="12564" max="12564" width="23" style="10" customWidth="1"/>
    <col min="12565" max="12565" width="26.85546875" style="10" customWidth="1"/>
    <col min="12566" max="12566" width="29" style="10" customWidth="1"/>
    <col min="12567" max="12567" width="34.140625" style="10" customWidth="1"/>
    <col min="12568" max="12568" width="29" style="10" customWidth="1"/>
    <col min="12569" max="12569" width="25" style="10" customWidth="1"/>
    <col min="12570" max="12570" width="36.28515625" style="10" customWidth="1"/>
    <col min="12571" max="12571" width="36.140625" style="10" customWidth="1"/>
    <col min="12572" max="12572" width="31.5703125" style="10" customWidth="1"/>
    <col min="12573" max="12573" width="0" style="10" hidden="1" customWidth="1"/>
    <col min="12574" max="12574" width="35.28515625" style="10" customWidth="1"/>
    <col min="12575" max="12575" width="31" style="10" customWidth="1"/>
    <col min="12576" max="12576" width="34.7109375" style="10" customWidth="1"/>
    <col min="12577" max="12577" width="31.42578125" style="10" customWidth="1"/>
    <col min="12578" max="12578" width="22.5703125" style="10" customWidth="1"/>
    <col min="12579" max="12582" width="0" style="10" hidden="1" customWidth="1"/>
    <col min="12583" max="12583" width="3" style="10" customWidth="1"/>
    <col min="12584" max="12584" width="26.85546875" style="10" customWidth="1"/>
    <col min="12585" max="12585" width="29.85546875" style="10" customWidth="1"/>
    <col min="12586" max="12586" width="32.7109375" style="10" customWidth="1"/>
    <col min="12587" max="12587" width="34.85546875" style="10" customWidth="1"/>
    <col min="12588" max="12588" width="30.42578125" style="10" customWidth="1"/>
    <col min="12589" max="12589" width="13.85546875" style="10" customWidth="1"/>
    <col min="12590" max="12590" width="39.42578125" style="10" customWidth="1"/>
    <col min="12591" max="12591" width="23.5703125" style="10" customWidth="1"/>
    <col min="12592" max="12800" width="11.42578125" style="10"/>
    <col min="12801" max="12801" width="3.85546875" style="10" customWidth="1"/>
    <col min="12802" max="12802" width="8.5703125" style="10" customWidth="1"/>
    <col min="12803" max="12803" width="8.140625" style="10" customWidth="1"/>
    <col min="12804" max="12807" width="3.85546875" style="10" customWidth="1"/>
    <col min="12808" max="12808" width="12.42578125" style="10" customWidth="1"/>
    <col min="12809" max="12809" width="3.85546875" style="10" customWidth="1"/>
    <col min="12810" max="12810" width="45.7109375" style="10" customWidth="1"/>
    <col min="12811" max="12813" width="0" style="10" hidden="1" customWidth="1"/>
    <col min="12814" max="12814" width="35.42578125" style="10" customWidth="1"/>
    <col min="12815" max="12815" width="25.85546875" style="10" customWidth="1"/>
    <col min="12816" max="12816" width="28.85546875" style="10" customWidth="1"/>
    <col min="12817" max="12817" width="30.42578125" style="10" customWidth="1"/>
    <col min="12818" max="12818" width="23.5703125" style="10" customWidth="1"/>
    <col min="12819" max="12819" width="24.42578125" style="10" customWidth="1"/>
    <col min="12820" max="12820" width="23" style="10" customWidth="1"/>
    <col min="12821" max="12821" width="26.85546875" style="10" customWidth="1"/>
    <col min="12822" max="12822" width="29" style="10" customWidth="1"/>
    <col min="12823" max="12823" width="34.140625" style="10" customWidth="1"/>
    <col min="12824" max="12824" width="29" style="10" customWidth="1"/>
    <col min="12825" max="12825" width="25" style="10" customWidth="1"/>
    <col min="12826" max="12826" width="36.28515625" style="10" customWidth="1"/>
    <col min="12827" max="12827" width="36.140625" style="10" customWidth="1"/>
    <col min="12828" max="12828" width="31.5703125" style="10" customWidth="1"/>
    <col min="12829" max="12829" width="0" style="10" hidden="1" customWidth="1"/>
    <col min="12830" max="12830" width="35.28515625" style="10" customWidth="1"/>
    <col min="12831" max="12831" width="31" style="10" customWidth="1"/>
    <col min="12832" max="12832" width="34.7109375" style="10" customWidth="1"/>
    <col min="12833" max="12833" width="31.42578125" style="10" customWidth="1"/>
    <col min="12834" max="12834" width="22.5703125" style="10" customWidth="1"/>
    <col min="12835" max="12838" width="0" style="10" hidden="1" customWidth="1"/>
    <col min="12839" max="12839" width="3" style="10" customWidth="1"/>
    <col min="12840" max="12840" width="26.85546875" style="10" customWidth="1"/>
    <col min="12841" max="12841" width="29.85546875" style="10" customWidth="1"/>
    <col min="12842" max="12842" width="32.7109375" style="10" customWidth="1"/>
    <col min="12843" max="12843" width="34.85546875" style="10" customWidth="1"/>
    <col min="12844" max="12844" width="30.42578125" style="10" customWidth="1"/>
    <col min="12845" max="12845" width="13.85546875" style="10" customWidth="1"/>
    <col min="12846" max="12846" width="39.42578125" style="10" customWidth="1"/>
    <col min="12847" max="12847" width="23.5703125" style="10" customWidth="1"/>
    <col min="12848" max="13056" width="11.42578125" style="10"/>
    <col min="13057" max="13057" width="3.85546875" style="10" customWidth="1"/>
    <col min="13058" max="13058" width="8.5703125" style="10" customWidth="1"/>
    <col min="13059" max="13059" width="8.140625" style="10" customWidth="1"/>
    <col min="13060" max="13063" width="3.85546875" style="10" customWidth="1"/>
    <col min="13064" max="13064" width="12.42578125" style="10" customWidth="1"/>
    <col min="13065" max="13065" width="3.85546875" style="10" customWidth="1"/>
    <col min="13066" max="13066" width="45.7109375" style="10" customWidth="1"/>
    <col min="13067" max="13069" width="0" style="10" hidden="1" customWidth="1"/>
    <col min="13070" max="13070" width="35.42578125" style="10" customWidth="1"/>
    <col min="13071" max="13071" width="25.85546875" style="10" customWidth="1"/>
    <col min="13072" max="13072" width="28.85546875" style="10" customWidth="1"/>
    <col min="13073" max="13073" width="30.42578125" style="10" customWidth="1"/>
    <col min="13074" max="13074" width="23.5703125" style="10" customWidth="1"/>
    <col min="13075" max="13075" width="24.42578125" style="10" customWidth="1"/>
    <col min="13076" max="13076" width="23" style="10" customWidth="1"/>
    <col min="13077" max="13077" width="26.85546875" style="10" customWidth="1"/>
    <col min="13078" max="13078" width="29" style="10" customWidth="1"/>
    <col min="13079" max="13079" width="34.140625" style="10" customWidth="1"/>
    <col min="13080" max="13080" width="29" style="10" customWidth="1"/>
    <col min="13081" max="13081" width="25" style="10" customWidth="1"/>
    <col min="13082" max="13082" width="36.28515625" style="10" customWidth="1"/>
    <col min="13083" max="13083" width="36.140625" style="10" customWidth="1"/>
    <col min="13084" max="13084" width="31.5703125" style="10" customWidth="1"/>
    <col min="13085" max="13085" width="0" style="10" hidden="1" customWidth="1"/>
    <col min="13086" max="13086" width="35.28515625" style="10" customWidth="1"/>
    <col min="13087" max="13087" width="31" style="10" customWidth="1"/>
    <col min="13088" max="13088" width="34.7109375" style="10" customWidth="1"/>
    <col min="13089" max="13089" width="31.42578125" style="10" customWidth="1"/>
    <col min="13090" max="13090" width="22.5703125" style="10" customWidth="1"/>
    <col min="13091" max="13094" width="0" style="10" hidden="1" customWidth="1"/>
    <col min="13095" max="13095" width="3" style="10" customWidth="1"/>
    <col min="13096" max="13096" width="26.85546875" style="10" customWidth="1"/>
    <col min="13097" max="13097" width="29.85546875" style="10" customWidth="1"/>
    <col min="13098" max="13098" width="32.7109375" style="10" customWidth="1"/>
    <col min="13099" max="13099" width="34.85546875" style="10" customWidth="1"/>
    <col min="13100" max="13100" width="30.42578125" style="10" customWidth="1"/>
    <col min="13101" max="13101" width="13.85546875" style="10" customWidth="1"/>
    <col min="13102" max="13102" width="39.42578125" style="10" customWidth="1"/>
    <col min="13103" max="13103" width="23.5703125" style="10" customWidth="1"/>
    <col min="13104" max="13312" width="11.42578125" style="10"/>
    <col min="13313" max="13313" width="3.85546875" style="10" customWidth="1"/>
    <col min="13314" max="13314" width="8.5703125" style="10" customWidth="1"/>
    <col min="13315" max="13315" width="8.140625" style="10" customWidth="1"/>
    <col min="13316" max="13319" width="3.85546875" style="10" customWidth="1"/>
    <col min="13320" max="13320" width="12.42578125" style="10" customWidth="1"/>
    <col min="13321" max="13321" width="3.85546875" style="10" customWidth="1"/>
    <col min="13322" max="13322" width="45.7109375" style="10" customWidth="1"/>
    <col min="13323" max="13325" width="0" style="10" hidden="1" customWidth="1"/>
    <col min="13326" max="13326" width="35.42578125" style="10" customWidth="1"/>
    <col min="13327" max="13327" width="25.85546875" style="10" customWidth="1"/>
    <col min="13328" max="13328" width="28.85546875" style="10" customWidth="1"/>
    <col min="13329" max="13329" width="30.42578125" style="10" customWidth="1"/>
    <col min="13330" max="13330" width="23.5703125" style="10" customWidth="1"/>
    <col min="13331" max="13331" width="24.42578125" style="10" customWidth="1"/>
    <col min="13332" max="13332" width="23" style="10" customWidth="1"/>
    <col min="13333" max="13333" width="26.85546875" style="10" customWidth="1"/>
    <col min="13334" max="13334" width="29" style="10" customWidth="1"/>
    <col min="13335" max="13335" width="34.140625" style="10" customWidth="1"/>
    <col min="13336" max="13336" width="29" style="10" customWidth="1"/>
    <col min="13337" max="13337" width="25" style="10" customWidth="1"/>
    <col min="13338" max="13338" width="36.28515625" style="10" customWidth="1"/>
    <col min="13339" max="13339" width="36.140625" style="10" customWidth="1"/>
    <col min="13340" max="13340" width="31.5703125" style="10" customWidth="1"/>
    <col min="13341" max="13341" width="0" style="10" hidden="1" customWidth="1"/>
    <col min="13342" max="13342" width="35.28515625" style="10" customWidth="1"/>
    <col min="13343" max="13343" width="31" style="10" customWidth="1"/>
    <col min="13344" max="13344" width="34.7109375" style="10" customWidth="1"/>
    <col min="13345" max="13345" width="31.42578125" style="10" customWidth="1"/>
    <col min="13346" max="13346" width="22.5703125" style="10" customWidth="1"/>
    <col min="13347" max="13350" width="0" style="10" hidden="1" customWidth="1"/>
    <col min="13351" max="13351" width="3" style="10" customWidth="1"/>
    <col min="13352" max="13352" width="26.85546875" style="10" customWidth="1"/>
    <col min="13353" max="13353" width="29.85546875" style="10" customWidth="1"/>
    <col min="13354" max="13354" width="32.7109375" style="10" customWidth="1"/>
    <col min="13355" max="13355" width="34.85546875" style="10" customWidth="1"/>
    <col min="13356" max="13356" width="30.42578125" style="10" customWidth="1"/>
    <col min="13357" max="13357" width="13.85546875" style="10" customWidth="1"/>
    <col min="13358" max="13358" width="39.42578125" style="10" customWidth="1"/>
    <col min="13359" max="13359" width="23.5703125" style="10" customWidth="1"/>
    <col min="13360" max="13568" width="11.42578125" style="10"/>
    <col min="13569" max="13569" width="3.85546875" style="10" customWidth="1"/>
    <col min="13570" max="13570" width="8.5703125" style="10" customWidth="1"/>
    <col min="13571" max="13571" width="8.140625" style="10" customWidth="1"/>
    <col min="13572" max="13575" width="3.85546875" style="10" customWidth="1"/>
    <col min="13576" max="13576" width="12.42578125" style="10" customWidth="1"/>
    <col min="13577" max="13577" width="3.85546875" style="10" customWidth="1"/>
    <col min="13578" max="13578" width="45.7109375" style="10" customWidth="1"/>
    <col min="13579" max="13581" width="0" style="10" hidden="1" customWidth="1"/>
    <col min="13582" max="13582" width="35.42578125" style="10" customWidth="1"/>
    <col min="13583" max="13583" width="25.85546875" style="10" customWidth="1"/>
    <col min="13584" max="13584" width="28.85546875" style="10" customWidth="1"/>
    <col min="13585" max="13585" width="30.42578125" style="10" customWidth="1"/>
    <col min="13586" max="13586" width="23.5703125" style="10" customWidth="1"/>
    <col min="13587" max="13587" width="24.42578125" style="10" customWidth="1"/>
    <col min="13588" max="13588" width="23" style="10" customWidth="1"/>
    <col min="13589" max="13589" width="26.85546875" style="10" customWidth="1"/>
    <col min="13590" max="13590" width="29" style="10" customWidth="1"/>
    <col min="13591" max="13591" width="34.140625" style="10" customWidth="1"/>
    <col min="13592" max="13592" width="29" style="10" customWidth="1"/>
    <col min="13593" max="13593" width="25" style="10" customWidth="1"/>
    <col min="13594" max="13594" width="36.28515625" style="10" customWidth="1"/>
    <col min="13595" max="13595" width="36.140625" style="10" customWidth="1"/>
    <col min="13596" max="13596" width="31.5703125" style="10" customWidth="1"/>
    <col min="13597" max="13597" width="0" style="10" hidden="1" customWidth="1"/>
    <col min="13598" max="13598" width="35.28515625" style="10" customWidth="1"/>
    <col min="13599" max="13599" width="31" style="10" customWidth="1"/>
    <col min="13600" max="13600" width="34.7109375" style="10" customWidth="1"/>
    <col min="13601" max="13601" width="31.42578125" style="10" customWidth="1"/>
    <col min="13602" max="13602" width="22.5703125" style="10" customWidth="1"/>
    <col min="13603" max="13606" width="0" style="10" hidden="1" customWidth="1"/>
    <col min="13607" max="13607" width="3" style="10" customWidth="1"/>
    <col min="13608" max="13608" width="26.85546875" style="10" customWidth="1"/>
    <col min="13609" max="13609" width="29.85546875" style="10" customWidth="1"/>
    <col min="13610" max="13610" width="32.7109375" style="10" customWidth="1"/>
    <col min="13611" max="13611" width="34.85546875" style="10" customWidth="1"/>
    <col min="13612" max="13612" width="30.42578125" style="10" customWidth="1"/>
    <col min="13613" max="13613" width="13.85546875" style="10" customWidth="1"/>
    <col min="13614" max="13614" width="39.42578125" style="10" customWidth="1"/>
    <col min="13615" max="13615" width="23.5703125" style="10" customWidth="1"/>
    <col min="13616" max="13824" width="11.42578125" style="10"/>
    <col min="13825" max="13825" width="3.85546875" style="10" customWidth="1"/>
    <col min="13826" max="13826" width="8.5703125" style="10" customWidth="1"/>
    <col min="13827" max="13827" width="8.140625" style="10" customWidth="1"/>
    <col min="13828" max="13831" width="3.85546875" style="10" customWidth="1"/>
    <col min="13832" max="13832" width="12.42578125" style="10" customWidth="1"/>
    <col min="13833" max="13833" width="3.85546875" style="10" customWidth="1"/>
    <col min="13834" max="13834" width="45.7109375" style="10" customWidth="1"/>
    <col min="13835" max="13837" width="0" style="10" hidden="1" customWidth="1"/>
    <col min="13838" max="13838" width="35.42578125" style="10" customWidth="1"/>
    <col min="13839" max="13839" width="25.85546875" style="10" customWidth="1"/>
    <col min="13840" max="13840" width="28.85546875" style="10" customWidth="1"/>
    <col min="13841" max="13841" width="30.42578125" style="10" customWidth="1"/>
    <col min="13842" max="13842" width="23.5703125" style="10" customWidth="1"/>
    <col min="13843" max="13843" width="24.42578125" style="10" customWidth="1"/>
    <col min="13844" max="13844" width="23" style="10" customWidth="1"/>
    <col min="13845" max="13845" width="26.85546875" style="10" customWidth="1"/>
    <col min="13846" max="13846" width="29" style="10" customWidth="1"/>
    <col min="13847" max="13847" width="34.140625" style="10" customWidth="1"/>
    <col min="13848" max="13848" width="29" style="10" customWidth="1"/>
    <col min="13849" max="13849" width="25" style="10" customWidth="1"/>
    <col min="13850" max="13850" width="36.28515625" style="10" customWidth="1"/>
    <col min="13851" max="13851" width="36.140625" style="10" customWidth="1"/>
    <col min="13852" max="13852" width="31.5703125" style="10" customWidth="1"/>
    <col min="13853" max="13853" width="0" style="10" hidden="1" customWidth="1"/>
    <col min="13854" max="13854" width="35.28515625" style="10" customWidth="1"/>
    <col min="13855" max="13855" width="31" style="10" customWidth="1"/>
    <col min="13856" max="13856" width="34.7109375" style="10" customWidth="1"/>
    <col min="13857" max="13857" width="31.42578125" style="10" customWidth="1"/>
    <col min="13858" max="13858" width="22.5703125" style="10" customWidth="1"/>
    <col min="13859" max="13862" width="0" style="10" hidden="1" customWidth="1"/>
    <col min="13863" max="13863" width="3" style="10" customWidth="1"/>
    <col min="13864" max="13864" width="26.85546875" style="10" customWidth="1"/>
    <col min="13865" max="13865" width="29.85546875" style="10" customWidth="1"/>
    <col min="13866" max="13866" width="32.7109375" style="10" customWidth="1"/>
    <col min="13867" max="13867" width="34.85546875" style="10" customWidth="1"/>
    <col min="13868" max="13868" width="30.42578125" style="10" customWidth="1"/>
    <col min="13869" max="13869" width="13.85546875" style="10" customWidth="1"/>
    <col min="13870" max="13870" width="39.42578125" style="10" customWidth="1"/>
    <col min="13871" max="13871" width="23.5703125" style="10" customWidth="1"/>
    <col min="13872" max="14080" width="11.42578125" style="10"/>
    <col min="14081" max="14081" width="3.85546875" style="10" customWidth="1"/>
    <col min="14082" max="14082" width="8.5703125" style="10" customWidth="1"/>
    <col min="14083" max="14083" width="8.140625" style="10" customWidth="1"/>
    <col min="14084" max="14087" width="3.85546875" style="10" customWidth="1"/>
    <col min="14088" max="14088" width="12.42578125" style="10" customWidth="1"/>
    <col min="14089" max="14089" width="3.85546875" style="10" customWidth="1"/>
    <col min="14090" max="14090" width="45.7109375" style="10" customWidth="1"/>
    <col min="14091" max="14093" width="0" style="10" hidden="1" customWidth="1"/>
    <col min="14094" max="14094" width="35.42578125" style="10" customWidth="1"/>
    <col min="14095" max="14095" width="25.85546875" style="10" customWidth="1"/>
    <col min="14096" max="14096" width="28.85546875" style="10" customWidth="1"/>
    <col min="14097" max="14097" width="30.42578125" style="10" customWidth="1"/>
    <col min="14098" max="14098" width="23.5703125" style="10" customWidth="1"/>
    <col min="14099" max="14099" width="24.42578125" style="10" customWidth="1"/>
    <col min="14100" max="14100" width="23" style="10" customWidth="1"/>
    <col min="14101" max="14101" width="26.85546875" style="10" customWidth="1"/>
    <col min="14102" max="14102" width="29" style="10" customWidth="1"/>
    <col min="14103" max="14103" width="34.140625" style="10" customWidth="1"/>
    <col min="14104" max="14104" width="29" style="10" customWidth="1"/>
    <col min="14105" max="14105" width="25" style="10" customWidth="1"/>
    <col min="14106" max="14106" width="36.28515625" style="10" customWidth="1"/>
    <col min="14107" max="14107" width="36.140625" style="10" customWidth="1"/>
    <col min="14108" max="14108" width="31.5703125" style="10" customWidth="1"/>
    <col min="14109" max="14109" width="0" style="10" hidden="1" customWidth="1"/>
    <col min="14110" max="14110" width="35.28515625" style="10" customWidth="1"/>
    <col min="14111" max="14111" width="31" style="10" customWidth="1"/>
    <col min="14112" max="14112" width="34.7109375" style="10" customWidth="1"/>
    <col min="14113" max="14113" width="31.42578125" style="10" customWidth="1"/>
    <col min="14114" max="14114" width="22.5703125" style="10" customWidth="1"/>
    <col min="14115" max="14118" width="0" style="10" hidden="1" customWidth="1"/>
    <col min="14119" max="14119" width="3" style="10" customWidth="1"/>
    <col min="14120" max="14120" width="26.85546875" style="10" customWidth="1"/>
    <col min="14121" max="14121" width="29.85546875" style="10" customWidth="1"/>
    <col min="14122" max="14122" width="32.7109375" style="10" customWidth="1"/>
    <col min="14123" max="14123" width="34.85546875" style="10" customWidth="1"/>
    <col min="14124" max="14124" width="30.42578125" style="10" customWidth="1"/>
    <col min="14125" max="14125" width="13.85546875" style="10" customWidth="1"/>
    <col min="14126" max="14126" width="39.42578125" style="10" customWidth="1"/>
    <col min="14127" max="14127" width="23.5703125" style="10" customWidth="1"/>
    <col min="14128" max="14336" width="11.42578125" style="10"/>
    <col min="14337" max="14337" width="3.85546875" style="10" customWidth="1"/>
    <col min="14338" max="14338" width="8.5703125" style="10" customWidth="1"/>
    <col min="14339" max="14339" width="8.140625" style="10" customWidth="1"/>
    <col min="14340" max="14343" width="3.85546875" style="10" customWidth="1"/>
    <col min="14344" max="14344" width="12.42578125" style="10" customWidth="1"/>
    <col min="14345" max="14345" width="3.85546875" style="10" customWidth="1"/>
    <col min="14346" max="14346" width="45.7109375" style="10" customWidth="1"/>
    <col min="14347" max="14349" width="0" style="10" hidden="1" customWidth="1"/>
    <col min="14350" max="14350" width="35.42578125" style="10" customWidth="1"/>
    <col min="14351" max="14351" width="25.85546875" style="10" customWidth="1"/>
    <col min="14352" max="14352" width="28.85546875" style="10" customWidth="1"/>
    <col min="14353" max="14353" width="30.42578125" style="10" customWidth="1"/>
    <col min="14354" max="14354" width="23.5703125" style="10" customWidth="1"/>
    <col min="14355" max="14355" width="24.42578125" style="10" customWidth="1"/>
    <col min="14356" max="14356" width="23" style="10" customWidth="1"/>
    <col min="14357" max="14357" width="26.85546875" style="10" customWidth="1"/>
    <col min="14358" max="14358" width="29" style="10" customWidth="1"/>
    <col min="14359" max="14359" width="34.140625" style="10" customWidth="1"/>
    <col min="14360" max="14360" width="29" style="10" customWidth="1"/>
    <col min="14361" max="14361" width="25" style="10" customWidth="1"/>
    <col min="14362" max="14362" width="36.28515625" style="10" customWidth="1"/>
    <col min="14363" max="14363" width="36.140625" style="10" customWidth="1"/>
    <col min="14364" max="14364" width="31.5703125" style="10" customWidth="1"/>
    <col min="14365" max="14365" width="0" style="10" hidden="1" customWidth="1"/>
    <col min="14366" max="14366" width="35.28515625" style="10" customWidth="1"/>
    <col min="14367" max="14367" width="31" style="10" customWidth="1"/>
    <col min="14368" max="14368" width="34.7109375" style="10" customWidth="1"/>
    <col min="14369" max="14369" width="31.42578125" style="10" customWidth="1"/>
    <col min="14370" max="14370" width="22.5703125" style="10" customWidth="1"/>
    <col min="14371" max="14374" width="0" style="10" hidden="1" customWidth="1"/>
    <col min="14375" max="14375" width="3" style="10" customWidth="1"/>
    <col min="14376" max="14376" width="26.85546875" style="10" customWidth="1"/>
    <col min="14377" max="14377" width="29.85546875" style="10" customWidth="1"/>
    <col min="14378" max="14378" width="32.7109375" style="10" customWidth="1"/>
    <col min="14379" max="14379" width="34.85546875" style="10" customWidth="1"/>
    <col min="14380" max="14380" width="30.42578125" style="10" customWidth="1"/>
    <col min="14381" max="14381" width="13.85546875" style="10" customWidth="1"/>
    <col min="14382" max="14382" width="39.42578125" style="10" customWidth="1"/>
    <col min="14383" max="14383" width="23.5703125" style="10" customWidth="1"/>
    <col min="14384" max="14592" width="11.42578125" style="10"/>
    <col min="14593" max="14593" width="3.85546875" style="10" customWidth="1"/>
    <col min="14594" max="14594" width="8.5703125" style="10" customWidth="1"/>
    <col min="14595" max="14595" width="8.140625" style="10" customWidth="1"/>
    <col min="14596" max="14599" width="3.85546875" style="10" customWidth="1"/>
    <col min="14600" max="14600" width="12.42578125" style="10" customWidth="1"/>
    <col min="14601" max="14601" width="3.85546875" style="10" customWidth="1"/>
    <col min="14602" max="14602" width="45.7109375" style="10" customWidth="1"/>
    <col min="14603" max="14605" width="0" style="10" hidden="1" customWidth="1"/>
    <col min="14606" max="14606" width="35.42578125" style="10" customWidth="1"/>
    <col min="14607" max="14607" width="25.85546875" style="10" customWidth="1"/>
    <col min="14608" max="14608" width="28.85546875" style="10" customWidth="1"/>
    <col min="14609" max="14609" width="30.42578125" style="10" customWidth="1"/>
    <col min="14610" max="14610" width="23.5703125" style="10" customWidth="1"/>
    <col min="14611" max="14611" width="24.42578125" style="10" customWidth="1"/>
    <col min="14612" max="14612" width="23" style="10" customWidth="1"/>
    <col min="14613" max="14613" width="26.85546875" style="10" customWidth="1"/>
    <col min="14614" max="14614" width="29" style="10" customWidth="1"/>
    <col min="14615" max="14615" width="34.140625" style="10" customWidth="1"/>
    <col min="14616" max="14616" width="29" style="10" customWidth="1"/>
    <col min="14617" max="14617" width="25" style="10" customWidth="1"/>
    <col min="14618" max="14618" width="36.28515625" style="10" customWidth="1"/>
    <col min="14619" max="14619" width="36.140625" style="10" customWidth="1"/>
    <col min="14620" max="14620" width="31.5703125" style="10" customWidth="1"/>
    <col min="14621" max="14621" width="0" style="10" hidden="1" customWidth="1"/>
    <col min="14622" max="14622" width="35.28515625" style="10" customWidth="1"/>
    <col min="14623" max="14623" width="31" style="10" customWidth="1"/>
    <col min="14624" max="14624" width="34.7109375" style="10" customWidth="1"/>
    <col min="14625" max="14625" width="31.42578125" style="10" customWidth="1"/>
    <col min="14626" max="14626" width="22.5703125" style="10" customWidth="1"/>
    <col min="14627" max="14630" width="0" style="10" hidden="1" customWidth="1"/>
    <col min="14631" max="14631" width="3" style="10" customWidth="1"/>
    <col min="14632" max="14632" width="26.85546875" style="10" customWidth="1"/>
    <col min="14633" max="14633" width="29.85546875" style="10" customWidth="1"/>
    <col min="14634" max="14634" width="32.7109375" style="10" customWidth="1"/>
    <col min="14635" max="14635" width="34.85546875" style="10" customWidth="1"/>
    <col min="14636" max="14636" width="30.42578125" style="10" customWidth="1"/>
    <col min="14637" max="14637" width="13.85546875" style="10" customWidth="1"/>
    <col min="14638" max="14638" width="39.42578125" style="10" customWidth="1"/>
    <col min="14639" max="14639" width="23.5703125" style="10" customWidth="1"/>
    <col min="14640" max="14848" width="11.42578125" style="10"/>
    <col min="14849" max="14849" width="3.85546875" style="10" customWidth="1"/>
    <col min="14850" max="14850" width="8.5703125" style="10" customWidth="1"/>
    <col min="14851" max="14851" width="8.140625" style="10" customWidth="1"/>
    <col min="14852" max="14855" width="3.85546875" style="10" customWidth="1"/>
    <col min="14856" max="14856" width="12.42578125" style="10" customWidth="1"/>
    <col min="14857" max="14857" width="3.85546875" style="10" customWidth="1"/>
    <col min="14858" max="14858" width="45.7109375" style="10" customWidth="1"/>
    <col min="14859" max="14861" width="0" style="10" hidden="1" customWidth="1"/>
    <col min="14862" max="14862" width="35.42578125" style="10" customWidth="1"/>
    <col min="14863" max="14863" width="25.85546875" style="10" customWidth="1"/>
    <col min="14864" max="14864" width="28.85546875" style="10" customWidth="1"/>
    <col min="14865" max="14865" width="30.42578125" style="10" customWidth="1"/>
    <col min="14866" max="14866" width="23.5703125" style="10" customWidth="1"/>
    <col min="14867" max="14867" width="24.42578125" style="10" customWidth="1"/>
    <col min="14868" max="14868" width="23" style="10" customWidth="1"/>
    <col min="14869" max="14869" width="26.85546875" style="10" customWidth="1"/>
    <col min="14870" max="14870" width="29" style="10" customWidth="1"/>
    <col min="14871" max="14871" width="34.140625" style="10" customWidth="1"/>
    <col min="14872" max="14872" width="29" style="10" customWidth="1"/>
    <col min="14873" max="14873" width="25" style="10" customWidth="1"/>
    <col min="14874" max="14874" width="36.28515625" style="10" customWidth="1"/>
    <col min="14875" max="14875" width="36.140625" style="10" customWidth="1"/>
    <col min="14876" max="14876" width="31.5703125" style="10" customWidth="1"/>
    <col min="14877" max="14877" width="0" style="10" hidden="1" customWidth="1"/>
    <col min="14878" max="14878" width="35.28515625" style="10" customWidth="1"/>
    <col min="14879" max="14879" width="31" style="10" customWidth="1"/>
    <col min="14880" max="14880" width="34.7109375" style="10" customWidth="1"/>
    <col min="14881" max="14881" width="31.42578125" style="10" customWidth="1"/>
    <col min="14882" max="14882" width="22.5703125" style="10" customWidth="1"/>
    <col min="14883" max="14886" width="0" style="10" hidden="1" customWidth="1"/>
    <col min="14887" max="14887" width="3" style="10" customWidth="1"/>
    <col min="14888" max="14888" width="26.85546875" style="10" customWidth="1"/>
    <col min="14889" max="14889" width="29.85546875" style="10" customWidth="1"/>
    <col min="14890" max="14890" width="32.7109375" style="10" customWidth="1"/>
    <col min="14891" max="14891" width="34.85546875" style="10" customWidth="1"/>
    <col min="14892" max="14892" width="30.42578125" style="10" customWidth="1"/>
    <col min="14893" max="14893" width="13.85546875" style="10" customWidth="1"/>
    <col min="14894" max="14894" width="39.42578125" style="10" customWidth="1"/>
    <col min="14895" max="14895" width="23.5703125" style="10" customWidth="1"/>
    <col min="14896" max="15104" width="11.42578125" style="10"/>
    <col min="15105" max="15105" width="3.85546875" style="10" customWidth="1"/>
    <col min="15106" max="15106" width="8.5703125" style="10" customWidth="1"/>
    <col min="15107" max="15107" width="8.140625" style="10" customWidth="1"/>
    <col min="15108" max="15111" width="3.85546875" style="10" customWidth="1"/>
    <col min="15112" max="15112" width="12.42578125" style="10" customWidth="1"/>
    <col min="15113" max="15113" width="3.85546875" style="10" customWidth="1"/>
    <col min="15114" max="15114" width="45.7109375" style="10" customWidth="1"/>
    <col min="15115" max="15117" width="0" style="10" hidden="1" customWidth="1"/>
    <col min="15118" max="15118" width="35.42578125" style="10" customWidth="1"/>
    <col min="15119" max="15119" width="25.85546875" style="10" customWidth="1"/>
    <col min="15120" max="15120" width="28.85546875" style="10" customWidth="1"/>
    <col min="15121" max="15121" width="30.42578125" style="10" customWidth="1"/>
    <col min="15122" max="15122" width="23.5703125" style="10" customWidth="1"/>
    <col min="15123" max="15123" width="24.42578125" style="10" customWidth="1"/>
    <col min="15124" max="15124" width="23" style="10" customWidth="1"/>
    <col min="15125" max="15125" width="26.85546875" style="10" customWidth="1"/>
    <col min="15126" max="15126" width="29" style="10" customWidth="1"/>
    <col min="15127" max="15127" width="34.140625" style="10" customWidth="1"/>
    <col min="15128" max="15128" width="29" style="10" customWidth="1"/>
    <col min="15129" max="15129" width="25" style="10" customWidth="1"/>
    <col min="15130" max="15130" width="36.28515625" style="10" customWidth="1"/>
    <col min="15131" max="15131" width="36.140625" style="10" customWidth="1"/>
    <col min="15132" max="15132" width="31.5703125" style="10" customWidth="1"/>
    <col min="15133" max="15133" width="0" style="10" hidden="1" customWidth="1"/>
    <col min="15134" max="15134" width="35.28515625" style="10" customWidth="1"/>
    <col min="15135" max="15135" width="31" style="10" customWidth="1"/>
    <col min="15136" max="15136" width="34.7109375" style="10" customWidth="1"/>
    <col min="15137" max="15137" width="31.42578125" style="10" customWidth="1"/>
    <col min="15138" max="15138" width="22.5703125" style="10" customWidth="1"/>
    <col min="15139" max="15142" width="0" style="10" hidden="1" customWidth="1"/>
    <col min="15143" max="15143" width="3" style="10" customWidth="1"/>
    <col min="15144" max="15144" width="26.85546875" style="10" customWidth="1"/>
    <col min="15145" max="15145" width="29.85546875" style="10" customWidth="1"/>
    <col min="15146" max="15146" width="32.7109375" style="10" customWidth="1"/>
    <col min="15147" max="15147" width="34.85546875" style="10" customWidth="1"/>
    <col min="15148" max="15148" width="30.42578125" style="10" customWidth="1"/>
    <col min="15149" max="15149" width="13.85546875" style="10" customWidth="1"/>
    <col min="15150" max="15150" width="39.42578125" style="10" customWidth="1"/>
    <col min="15151" max="15151" width="23.5703125" style="10" customWidth="1"/>
    <col min="15152" max="15360" width="11.42578125" style="10"/>
    <col min="15361" max="15361" width="3.85546875" style="10" customWidth="1"/>
    <col min="15362" max="15362" width="8.5703125" style="10" customWidth="1"/>
    <col min="15363" max="15363" width="8.140625" style="10" customWidth="1"/>
    <col min="15364" max="15367" width="3.85546875" style="10" customWidth="1"/>
    <col min="15368" max="15368" width="12.42578125" style="10" customWidth="1"/>
    <col min="15369" max="15369" width="3.85546875" style="10" customWidth="1"/>
    <col min="15370" max="15370" width="45.7109375" style="10" customWidth="1"/>
    <col min="15371" max="15373" width="0" style="10" hidden="1" customWidth="1"/>
    <col min="15374" max="15374" width="35.42578125" style="10" customWidth="1"/>
    <col min="15375" max="15375" width="25.85546875" style="10" customWidth="1"/>
    <col min="15376" max="15376" width="28.85546875" style="10" customWidth="1"/>
    <col min="15377" max="15377" width="30.42578125" style="10" customWidth="1"/>
    <col min="15378" max="15378" width="23.5703125" style="10" customWidth="1"/>
    <col min="15379" max="15379" width="24.42578125" style="10" customWidth="1"/>
    <col min="15380" max="15380" width="23" style="10" customWidth="1"/>
    <col min="15381" max="15381" width="26.85546875" style="10" customWidth="1"/>
    <col min="15382" max="15382" width="29" style="10" customWidth="1"/>
    <col min="15383" max="15383" width="34.140625" style="10" customWidth="1"/>
    <col min="15384" max="15384" width="29" style="10" customWidth="1"/>
    <col min="15385" max="15385" width="25" style="10" customWidth="1"/>
    <col min="15386" max="15386" width="36.28515625" style="10" customWidth="1"/>
    <col min="15387" max="15387" width="36.140625" style="10" customWidth="1"/>
    <col min="15388" max="15388" width="31.5703125" style="10" customWidth="1"/>
    <col min="15389" max="15389" width="0" style="10" hidden="1" customWidth="1"/>
    <col min="15390" max="15390" width="35.28515625" style="10" customWidth="1"/>
    <col min="15391" max="15391" width="31" style="10" customWidth="1"/>
    <col min="15392" max="15392" width="34.7109375" style="10" customWidth="1"/>
    <col min="15393" max="15393" width="31.42578125" style="10" customWidth="1"/>
    <col min="15394" max="15394" width="22.5703125" style="10" customWidth="1"/>
    <col min="15395" max="15398" width="0" style="10" hidden="1" customWidth="1"/>
    <col min="15399" max="15399" width="3" style="10" customWidth="1"/>
    <col min="15400" max="15400" width="26.85546875" style="10" customWidth="1"/>
    <col min="15401" max="15401" width="29.85546875" style="10" customWidth="1"/>
    <col min="15402" max="15402" width="32.7109375" style="10" customWidth="1"/>
    <col min="15403" max="15403" width="34.85546875" style="10" customWidth="1"/>
    <col min="15404" max="15404" width="30.42578125" style="10" customWidth="1"/>
    <col min="15405" max="15405" width="13.85546875" style="10" customWidth="1"/>
    <col min="15406" max="15406" width="39.42578125" style="10" customWidth="1"/>
    <col min="15407" max="15407" width="23.5703125" style="10" customWidth="1"/>
    <col min="15408" max="15616" width="11.42578125" style="10"/>
    <col min="15617" max="15617" width="3.85546875" style="10" customWidth="1"/>
    <col min="15618" max="15618" width="8.5703125" style="10" customWidth="1"/>
    <col min="15619" max="15619" width="8.140625" style="10" customWidth="1"/>
    <col min="15620" max="15623" width="3.85546875" style="10" customWidth="1"/>
    <col min="15624" max="15624" width="12.42578125" style="10" customWidth="1"/>
    <col min="15625" max="15625" width="3.85546875" style="10" customWidth="1"/>
    <col min="15626" max="15626" width="45.7109375" style="10" customWidth="1"/>
    <col min="15627" max="15629" width="0" style="10" hidden="1" customWidth="1"/>
    <col min="15630" max="15630" width="35.42578125" style="10" customWidth="1"/>
    <col min="15631" max="15631" width="25.85546875" style="10" customWidth="1"/>
    <col min="15632" max="15632" width="28.85546875" style="10" customWidth="1"/>
    <col min="15633" max="15633" width="30.42578125" style="10" customWidth="1"/>
    <col min="15634" max="15634" width="23.5703125" style="10" customWidth="1"/>
    <col min="15635" max="15635" width="24.42578125" style="10" customWidth="1"/>
    <col min="15636" max="15636" width="23" style="10" customWidth="1"/>
    <col min="15637" max="15637" width="26.85546875" style="10" customWidth="1"/>
    <col min="15638" max="15638" width="29" style="10" customWidth="1"/>
    <col min="15639" max="15639" width="34.140625" style="10" customWidth="1"/>
    <col min="15640" max="15640" width="29" style="10" customWidth="1"/>
    <col min="15641" max="15641" width="25" style="10" customWidth="1"/>
    <col min="15642" max="15642" width="36.28515625" style="10" customWidth="1"/>
    <col min="15643" max="15643" width="36.140625" style="10" customWidth="1"/>
    <col min="15644" max="15644" width="31.5703125" style="10" customWidth="1"/>
    <col min="15645" max="15645" width="0" style="10" hidden="1" customWidth="1"/>
    <col min="15646" max="15646" width="35.28515625" style="10" customWidth="1"/>
    <col min="15647" max="15647" width="31" style="10" customWidth="1"/>
    <col min="15648" max="15648" width="34.7109375" style="10" customWidth="1"/>
    <col min="15649" max="15649" width="31.42578125" style="10" customWidth="1"/>
    <col min="15650" max="15650" width="22.5703125" style="10" customWidth="1"/>
    <col min="15651" max="15654" width="0" style="10" hidden="1" customWidth="1"/>
    <col min="15655" max="15655" width="3" style="10" customWidth="1"/>
    <col min="15656" max="15656" width="26.85546875" style="10" customWidth="1"/>
    <col min="15657" max="15657" width="29.85546875" style="10" customWidth="1"/>
    <col min="15658" max="15658" width="32.7109375" style="10" customWidth="1"/>
    <col min="15659" max="15659" width="34.85546875" style="10" customWidth="1"/>
    <col min="15660" max="15660" width="30.42578125" style="10" customWidth="1"/>
    <col min="15661" max="15661" width="13.85546875" style="10" customWidth="1"/>
    <col min="15662" max="15662" width="39.42578125" style="10" customWidth="1"/>
    <col min="15663" max="15663" width="23.5703125" style="10" customWidth="1"/>
    <col min="15664" max="15872" width="11.42578125" style="10"/>
    <col min="15873" max="15873" width="3.85546875" style="10" customWidth="1"/>
    <col min="15874" max="15874" width="8.5703125" style="10" customWidth="1"/>
    <col min="15875" max="15875" width="8.140625" style="10" customWidth="1"/>
    <col min="15876" max="15879" width="3.85546875" style="10" customWidth="1"/>
    <col min="15880" max="15880" width="12.42578125" style="10" customWidth="1"/>
    <col min="15881" max="15881" width="3.85546875" style="10" customWidth="1"/>
    <col min="15882" max="15882" width="45.7109375" style="10" customWidth="1"/>
    <col min="15883" max="15885" width="0" style="10" hidden="1" customWidth="1"/>
    <col min="15886" max="15886" width="35.42578125" style="10" customWidth="1"/>
    <col min="15887" max="15887" width="25.85546875" style="10" customWidth="1"/>
    <col min="15888" max="15888" width="28.85546875" style="10" customWidth="1"/>
    <col min="15889" max="15889" width="30.42578125" style="10" customWidth="1"/>
    <col min="15890" max="15890" width="23.5703125" style="10" customWidth="1"/>
    <col min="15891" max="15891" width="24.42578125" style="10" customWidth="1"/>
    <col min="15892" max="15892" width="23" style="10" customWidth="1"/>
    <col min="15893" max="15893" width="26.85546875" style="10" customWidth="1"/>
    <col min="15894" max="15894" width="29" style="10" customWidth="1"/>
    <col min="15895" max="15895" width="34.140625" style="10" customWidth="1"/>
    <col min="15896" max="15896" width="29" style="10" customWidth="1"/>
    <col min="15897" max="15897" width="25" style="10" customWidth="1"/>
    <col min="15898" max="15898" width="36.28515625" style="10" customWidth="1"/>
    <col min="15899" max="15899" width="36.140625" style="10" customWidth="1"/>
    <col min="15900" max="15900" width="31.5703125" style="10" customWidth="1"/>
    <col min="15901" max="15901" width="0" style="10" hidden="1" customWidth="1"/>
    <col min="15902" max="15902" width="35.28515625" style="10" customWidth="1"/>
    <col min="15903" max="15903" width="31" style="10" customWidth="1"/>
    <col min="15904" max="15904" width="34.7109375" style="10" customWidth="1"/>
    <col min="15905" max="15905" width="31.42578125" style="10" customWidth="1"/>
    <col min="15906" max="15906" width="22.5703125" style="10" customWidth="1"/>
    <col min="15907" max="15910" width="0" style="10" hidden="1" customWidth="1"/>
    <col min="15911" max="15911" width="3" style="10" customWidth="1"/>
    <col min="15912" max="15912" width="26.85546875" style="10" customWidth="1"/>
    <col min="15913" max="15913" width="29.85546875" style="10" customWidth="1"/>
    <col min="15914" max="15914" width="32.7109375" style="10" customWidth="1"/>
    <col min="15915" max="15915" width="34.85546875" style="10" customWidth="1"/>
    <col min="15916" max="15916" width="30.42578125" style="10" customWidth="1"/>
    <col min="15917" max="15917" width="13.85546875" style="10" customWidth="1"/>
    <col min="15918" max="15918" width="39.42578125" style="10" customWidth="1"/>
    <col min="15919" max="15919" width="23.5703125" style="10" customWidth="1"/>
    <col min="15920" max="16128" width="11.42578125" style="10"/>
    <col min="16129" max="16129" width="3.85546875" style="10" customWidth="1"/>
    <col min="16130" max="16130" width="8.5703125" style="10" customWidth="1"/>
    <col min="16131" max="16131" width="8.140625" style="10" customWidth="1"/>
    <col min="16132" max="16135" width="3.85546875" style="10" customWidth="1"/>
    <col min="16136" max="16136" width="12.42578125" style="10" customWidth="1"/>
    <col min="16137" max="16137" width="3.85546875" style="10" customWidth="1"/>
    <col min="16138" max="16138" width="45.7109375" style="10" customWidth="1"/>
    <col min="16139" max="16141" width="0" style="10" hidden="1" customWidth="1"/>
    <col min="16142" max="16142" width="35.42578125" style="10" customWidth="1"/>
    <col min="16143" max="16143" width="25.85546875" style="10" customWidth="1"/>
    <col min="16144" max="16144" width="28.85546875" style="10" customWidth="1"/>
    <col min="16145" max="16145" width="30.42578125" style="10" customWidth="1"/>
    <col min="16146" max="16146" width="23.5703125" style="10" customWidth="1"/>
    <col min="16147" max="16147" width="24.42578125" style="10" customWidth="1"/>
    <col min="16148" max="16148" width="23" style="10" customWidth="1"/>
    <col min="16149" max="16149" width="26.85546875" style="10" customWidth="1"/>
    <col min="16150" max="16150" width="29" style="10" customWidth="1"/>
    <col min="16151" max="16151" width="34.140625" style="10" customWidth="1"/>
    <col min="16152" max="16152" width="29" style="10" customWidth="1"/>
    <col min="16153" max="16153" width="25" style="10" customWidth="1"/>
    <col min="16154" max="16154" width="36.28515625" style="10" customWidth="1"/>
    <col min="16155" max="16155" width="36.140625" style="10" customWidth="1"/>
    <col min="16156" max="16156" width="31.5703125" style="10" customWidth="1"/>
    <col min="16157" max="16157" width="0" style="10" hidden="1" customWidth="1"/>
    <col min="16158" max="16158" width="35.28515625" style="10" customWidth="1"/>
    <col min="16159" max="16159" width="31" style="10" customWidth="1"/>
    <col min="16160" max="16160" width="34.7109375" style="10" customWidth="1"/>
    <col min="16161" max="16161" width="31.42578125" style="10" customWidth="1"/>
    <col min="16162" max="16162" width="22.5703125" style="10" customWidth="1"/>
    <col min="16163" max="16166" width="0" style="10" hidden="1" customWidth="1"/>
    <col min="16167" max="16167" width="3" style="10" customWidth="1"/>
    <col min="16168" max="16168" width="26.85546875" style="10" customWidth="1"/>
    <col min="16169" max="16169" width="29.85546875" style="10" customWidth="1"/>
    <col min="16170" max="16170" width="32.7109375" style="10" customWidth="1"/>
    <col min="16171" max="16171" width="34.85546875" style="10" customWidth="1"/>
    <col min="16172" max="16172" width="30.42578125" style="10" customWidth="1"/>
    <col min="16173" max="16173" width="13.85546875" style="10" customWidth="1"/>
    <col min="16174" max="16174" width="39.42578125" style="10" customWidth="1"/>
    <col min="16175" max="16175" width="23.5703125" style="10" customWidth="1"/>
    <col min="16176" max="16384" width="11.42578125" style="10"/>
  </cols>
  <sheetData>
    <row r="1" spans="1:47" ht="18" customHeight="1" x14ac:dyDescent="0.35">
      <c r="A1" s="801" t="s">
        <v>113</v>
      </c>
      <c r="B1" s="801"/>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589"/>
      <c r="AC1" s="589"/>
      <c r="AE1" s="119"/>
    </row>
    <row r="2" spans="1:47" ht="25.5" customHeight="1" x14ac:dyDescent="0.35">
      <c r="A2" s="802" t="s">
        <v>323</v>
      </c>
      <c r="B2" s="802"/>
      <c r="C2" s="802"/>
      <c r="D2" s="802"/>
      <c r="E2" s="802"/>
      <c r="F2" s="802"/>
      <c r="G2" s="802"/>
      <c r="H2" s="802"/>
      <c r="I2" s="802"/>
      <c r="J2" s="802"/>
      <c r="K2" s="802"/>
      <c r="L2" s="802"/>
      <c r="M2" s="802"/>
      <c r="N2" s="802"/>
      <c r="O2" s="802"/>
      <c r="P2" s="802"/>
      <c r="Q2" s="802"/>
      <c r="R2" s="802"/>
      <c r="S2" s="802"/>
      <c r="T2" s="802"/>
      <c r="U2" s="802"/>
      <c r="V2" s="802"/>
      <c r="W2" s="802"/>
      <c r="X2" s="802"/>
      <c r="Y2" s="802"/>
      <c r="Z2" s="802"/>
      <c r="AA2" s="802"/>
      <c r="AB2" s="589"/>
      <c r="AC2" s="589"/>
      <c r="AD2" s="119"/>
      <c r="AE2" s="119"/>
      <c r="AF2" s="119"/>
      <c r="AG2" s="127"/>
      <c r="AQ2" s="124">
        <f>SUM(AQ4-AP4)</f>
        <v>194144070</v>
      </c>
    </row>
    <row r="3" spans="1:47" ht="36.75" customHeight="1" x14ac:dyDescent="0.4">
      <c r="A3" s="22"/>
      <c r="B3" s="803">
        <f>SUM(N14)</f>
        <v>2601173403</v>
      </c>
      <c r="C3" s="803"/>
      <c r="D3" s="803"/>
      <c r="E3" s="803"/>
      <c r="F3" s="803"/>
      <c r="G3" s="803"/>
      <c r="H3" s="803"/>
      <c r="I3" s="803"/>
      <c r="J3" s="60">
        <f>SUM(N89)</f>
        <v>2601173403</v>
      </c>
      <c r="K3" s="22"/>
      <c r="L3" s="22"/>
      <c r="M3" s="22"/>
      <c r="N3" s="128"/>
      <c r="O3" s="129"/>
      <c r="P3" s="22"/>
      <c r="Q3" s="22"/>
      <c r="R3" s="22"/>
      <c r="S3" s="22"/>
      <c r="T3" s="22"/>
      <c r="U3" s="22"/>
      <c r="V3" s="22"/>
      <c r="W3" s="22"/>
      <c r="X3" s="130"/>
      <c r="Y3" s="22"/>
      <c r="Z3" s="22"/>
      <c r="AA3" s="22"/>
      <c r="AB3" s="131"/>
      <c r="AC3" s="131"/>
      <c r="AF3" s="10" t="s">
        <v>324</v>
      </c>
      <c r="AM3" s="132"/>
    </row>
    <row r="4" spans="1:47" ht="27.75" customHeight="1" x14ac:dyDescent="0.4">
      <c r="A4" s="23" t="s">
        <v>87</v>
      </c>
      <c r="B4" s="57" t="s">
        <v>87</v>
      </c>
      <c r="C4" s="57" t="s">
        <v>87</v>
      </c>
      <c r="D4" s="57" t="s">
        <v>87</v>
      </c>
      <c r="E4" s="57" t="s">
        <v>87</v>
      </c>
      <c r="F4" s="57" t="s">
        <v>87</v>
      </c>
      <c r="G4" s="57" t="s">
        <v>87</v>
      </c>
      <c r="H4" s="57" t="s">
        <v>87</v>
      </c>
      <c r="I4" s="57" t="s">
        <v>87</v>
      </c>
      <c r="J4" s="651">
        <f>SUM(N14-N89)</f>
        <v>0</v>
      </c>
      <c r="K4" s="791" t="s">
        <v>325</v>
      </c>
      <c r="L4" s="791" t="s">
        <v>326</v>
      </c>
      <c r="M4" s="791" t="s">
        <v>327</v>
      </c>
      <c r="N4" s="650"/>
      <c r="O4" s="133" t="s">
        <v>87</v>
      </c>
      <c r="P4" s="133" t="s">
        <v>87</v>
      </c>
      <c r="Q4" s="134" t="s">
        <v>328</v>
      </c>
      <c r="R4" s="135"/>
      <c r="S4" s="135"/>
      <c r="T4" s="135"/>
      <c r="U4" s="135"/>
      <c r="V4" s="134"/>
      <c r="W4" s="134"/>
      <c r="X4" s="136"/>
      <c r="Y4" s="137"/>
      <c r="Z4" s="138"/>
      <c r="AA4" s="844" t="s">
        <v>329</v>
      </c>
      <c r="AB4" s="845"/>
      <c r="AC4" s="845"/>
      <c r="AD4" s="845"/>
      <c r="AE4" s="845"/>
      <c r="AF4" s="139"/>
      <c r="AG4" s="140"/>
      <c r="AH4" s="141"/>
      <c r="AI4" s="142"/>
      <c r="AJ4" s="143"/>
      <c r="AK4" s="142"/>
      <c r="AL4" s="846" t="s">
        <v>330</v>
      </c>
      <c r="AO4" s="119">
        <f>AE30+X30</f>
        <v>162939836</v>
      </c>
      <c r="AP4" s="144">
        <f>SUM(AP6:AP95)</f>
        <v>11500000</v>
      </c>
      <c r="AQ4" s="144">
        <f>SUM(AQ6:AQ95)</f>
        <v>205644070</v>
      </c>
      <c r="AR4" s="145">
        <f>SUM(AP4-AQ4)</f>
        <v>-194144070</v>
      </c>
      <c r="AS4" s="146"/>
      <c r="AT4" s="146" t="s">
        <v>331</v>
      </c>
    </row>
    <row r="5" spans="1:47" ht="72.75" customHeight="1" x14ac:dyDescent="0.35">
      <c r="A5" s="24" t="s">
        <v>112</v>
      </c>
      <c r="B5" s="588" t="s">
        <v>111</v>
      </c>
      <c r="C5" s="588" t="s">
        <v>110</v>
      </c>
      <c r="D5" s="588" t="s">
        <v>109</v>
      </c>
      <c r="E5" s="588" t="s">
        <v>108</v>
      </c>
      <c r="F5" s="588" t="s">
        <v>107</v>
      </c>
      <c r="G5" s="588" t="s">
        <v>106</v>
      </c>
      <c r="H5" s="588" t="s">
        <v>105</v>
      </c>
      <c r="I5" s="588" t="s">
        <v>104</v>
      </c>
      <c r="J5" s="59" t="s">
        <v>103</v>
      </c>
      <c r="K5" s="792"/>
      <c r="L5" s="792"/>
      <c r="M5" s="792"/>
      <c r="N5" s="59" t="s">
        <v>332</v>
      </c>
      <c r="O5" s="59" t="s">
        <v>333</v>
      </c>
      <c r="P5" s="147" t="s">
        <v>334</v>
      </c>
      <c r="Q5" s="59" t="s">
        <v>335</v>
      </c>
      <c r="R5" s="37" t="s">
        <v>174</v>
      </c>
      <c r="S5" s="37" t="s">
        <v>187</v>
      </c>
      <c r="T5" s="37" t="s">
        <v>188</v>
      </c>
      <c r="U5" s="37" t="s">
        <v>172</v>
      </c>
      <c r="V5" s="59" t="s">
        <v>336</v>
      </c>
      <c r="W5" s="59" t="s">
        <v>337</v>
      </c>
      <c r="X5" s="148" t="s">
        <v>338</v>
      </c>
      <c r="Y5" s="149" t="s">
        <v>339</v>
      </c>
      <c r="Z5" s="59" t="s">
        <v>340</v>
      </c>
      <c r="AA5" s="150" t="s">
        <v>341</v>
      </c>
      <c r="AB5" s="151" t="s">
        <v>342</v>
      </c>
      <c r="AC5" s="151" t="s">
        <v>343</v>
      </c>
      <c r="AD5" s="152" t="s">
        <v>344</v>
      </c>
      <c r="AE5" s="152" t="s">
        <v>345</v>
      </c>
      <c r="AF5" s="153" t="s">
        <v>346</v>
      </c>
      <c r="AG5" s="154" t="s">
        <v>553</v>
      </c>
      <c r="AH5" s="155" t="s">
        <v>347</v>
      </c>
      <c r="AI5" s="156" t="s">
        <v>348</v>
      </c>
      <c r="AJ5" s="143" t="s">
        <v>349</v>
      </c>
      <c r="AK5" s="157" t="s">
        <v>350</v>
      </c>
      <c r="AL5" s="847"/>
      <c r="AM5" s="158"/>
      <c r="AN5" s="159" t="s">
        <v>351</v>
      </c>
      <c r="AO5" s="159" t="s">
        <v>352</v>
      </c>
      <c r="AP5" s="848" t="s">
        <v>353</v>
      </c>
      <c r="AQ5" s="848"/>
    </row>
    <row r="6" spans="1:47" ht="88.9" customHeight="1" x14ac:dyDescent="0.35">
      <c r="A6" s="160" t="s">
        <v>100</v>
      </c>
      <c r="B6" s="38">
        <v>1</v>
      </c>
      <c r="C6" s="38">
        <v>0</v>
      </c>
      <c r="D6" s="38">
        <v>2</v>
      </c>
      <c r="E6" s="38">
        <v>12</v>
      </c>
      <c r="F6" s="38"/>
      <c r="G6" s="38"/>
      <c r="H6" s="38">
        <v>10</v>
      </c>
      <c r="I6" s="161"/>
      <c r="J6" s="162" t="s">
        <v>354</v>
      </c>
      <c r="K6" s="590"/>
      <c r="L6" s="590"/>
      <c r="M6" s="590"/>
      <c r="N6" s="635">
        <v>123423893</v>
      </c>
      <c r="O6" s="192">
        <v>265300000</v>
      </c>
      <c r="P6" s="45"/>
      <c r="Q6" s="45">
        <f>SUM(N6+O6-P6)</f>
        <v>388723893</v>
      </c>
      <c r="R6" s="45"/>
      <c r="S6" s="163"/>
      <c r="T6" s="164"/>
      <c r="U6" s="164"/>
      <c r="V6" s="45"/>
      <c r="W6" s="45">
        <v>6961500</v>
      </c>
      <c r="X6" s="165">
        <f>SUM(U6)</f>
        <v>0</v>
      </c>
      <c r="Y6" s="166"/>
      <c r="Z6" s="167">
        <f>SUM(Q6-R6-T6-V6-W6-X6-Y6)</f>
        <v>381762393</v>
      </c>
      <c r="AA6" s="732">
        <v>374282684</v>
      </c>
      <c r="AB6" s="167">
        <v>91720200</v>
      </c>
      <c r="AC6" s="168">
        <f t="shared" ref="AC6:AC57" si="0">SUM(AA6-AB6)</f>
        <v>282562484</v>
      </c>
      <c r="AD6" s="166">
        <f>SUM(Z6-AB6)</f>
        <v>290042193</v>
      </c>
      <c r="AE6" s="166">
        <v>282562484</v>
      </c>
      <c r="AF6" s="169">
        <f>SUM(AD6-AE6)</f>
        <v>7479709</v>
      </c>
      <c r="AG6" s="642">
        <f>SUM(R6+T6+V6+Y6+W6+AB6)</f>
        <v>98681700</v>
      </c>
      <c r="AH6" s="170">
        <f>AB6/(AB6+AE6+AF6)</f>
        <v>0.24025467589731919</v>
      </c>
      <c r="AI6" s="171"/>
      <c r="AJ6" s="172"/>
      <c r="AK6" s="173" t="e">
        <f>SUM(AD6-AE6-#REF!-#REF!)</f>
        <v>#REF!</v>
      </c>
      <c r="AL6" s="174">
        <f>SUM(Q6-(AD6+X6))/Q6</f>
        <v>0.2538606496205264</v>
      </c>
      <c r="AM6" s="175"/>
      <c r="AN6" s="176" t="s">
        <v>355</v>
      </c>
      <c r="AO6" s="177" t="s">
        <v>1228</v>
      </c>
      <c r="AP6" s="178"/>
      <c r="AQ6" s="179"/>
    </row>
    <row r="7" spans="1:47" s="120" customFormat="1" ht="29.25" customHeight="1" x14ac:dyDescent="0.35">
      <c r="A7" s="180"/>
      <c r="B7" s="38">
        <v>1</v>
      </c>
      <c r="C7" s="38">
        <v>0</v>
      </c>
      <c r="D7" s="38">
        <v>2</v>
      </c>
      <c r="E7" s="38">
        <v>100</v>
      </c>
      <c r="F7" s="38"/>
      <c r="G7" s="38"/>
      <c r="H7" s="38"/>
      <c r="I7" s="38"/>
      <c r="J7" s="36" t="s">
        <v>356</v>
      </c>
      <c r="K7" s="590"/>
      <c r="L7" s="590"/>
      <c r="M7" s="590"/>
      <c r="N7" s="635">
        <v>1000000</v>
      </c>
      <c r="O7" s="45"/>
      <c r="P7" s="45"/>
      <c r="Q7" s="45">
        <f>SUM(N7+O7-P7)</f>
        <v>1000000</v>
      </c>
      <c r="R7" s="45"/>
      <c r="S7" s="163"/>
      <c r="T7" s="45"/>
      <c r="U7" s="45"/>
      <c r="V7" s="45">
        <v>1500000</v>
      </c>
      <c r="W7" s="45"/>
      <c r="X7" s="165">
        <f>SUM(U7)</f>
        <v>0</v>
      </c>
      <c r="Y7" s="166"/>
      <c r="Z7" s="167"/>
      <c r="AA7" s="167"/>
      <c r="AB7" s="167"/>
      <c r="AC7" s="167">
        <f t="shared" si="0"/>
        <v>0</v>
      </c>
      <c r="AD7" s="166">
        <f>SUM(Z7-AB7)</f>
        <v>0</v>
      </c>
      <c r="AE7" s="166"/>
      <c r="AF7" s="166">
        <f>SUM(AD7-AE7)</f>
        <v>0</v>
      </c>
      <c r="AG7" s="642">
        <f>SUM(R7+T7+V7+Y7+W7+AB7)</f>
        <v>1500000</v>
      </c>
      <c r="AH7" s="181" t="s">
        <v>36</v>
      </c>
      <c r="AI7" s="171"/>
      <c r="AJ7" s="172"/>
      <c r="AK7" s="173" t="e">
        <f>SUM(AD7-AE7-#REF!-#REF!)</f>
        <v>#REF!</v>
      </c>
      <c r="AL7" s="174">
        <f>SUM(Q7-(AD7+X7))/Q7</f>
        <v>1</v>
      </c>
      <c r="AM7" s="182"/>
      <c r="AN7" s="183"/>
      <c r="AO7" s="184"/>
      <c r="AP7" s="52"/>
      <c r="AQ7" s="52"/>
      <c r="AR7" s="185"/>
      <c r="AU7" s="186"/>
    </row>
    <row r="8" spans="1:47" s="28" customFormat="1" ht="42" customHeight="1" x14ac:dyDescent="0.35">
      <c r="A8" s="27"/>
      <c r="B8" s="187"/>
      <c r="C8" s="187"/>
      <c r="D8" s="187"/>
      <c r="E8" s="187"/>
      <c r="F8" s="187"/>
      <c r="G8" s="187"/>
      <c r="H8" s="187"/>
      <c r="I8" s="187"/>
      <c r="J8" s="188" t="s">
        <v>357</v>
      </c>
      <c r="K8" s="189"/>
      <c r="L8" s="189"/>
      <c r="M8" s="189"/>
      <c r="N8" s="190">
        <f>SUM(N6:N7)</f>
        <v>124423893</v>
      </c>
      <c r="O8" s="190">
        <f>SUM(O6:O7)</f>
        <v>265300000</v>
      </c>
      <c r="P8" s="190">
        <f>SUM(P6:P7)</f>
        <v>0</v>
      </c>
      <c r="Q8" s="190">
        <f>SUM(Q6:Q7)</f>
        <v>389723893</v>
      </c>
      <c r="R8" s="190"/>
      <c r="S8" s="191"/>
      <c r="T8" s="190">
        <f>SUM(T6:T7)</f>
        <v>0</v>
      </c>
      <c r="U8" s="190">
        <f>SUM(U6:U7)</f>
        <v>0</v>
      </c>
      <c r="V8" s="190">
        <f>SUM(V6:V7)</f>
        <v>1500000</v>
      </c>
      <c r="W8" s="190">
        <f t="shared" ref="W8:AF8" si="1">SUM(W6:W7)</f>
        <v>6961500</v>
      </c>
      <c r="X8" s="192">
        <f t="shared" si="1"/>
        <v>0</v>
      </c>
      <c r="Y8" s="193">
        <f t="shared" si="1"/>
        <v>0</v>
      </c>
      <c r="Z8" s="193">
        <f t="shared" si="1"/>
        <v>381762393</v>
      </c>
      <c r="AA8" s="193">
        <f t="shared" si="1"/>
        <v>374282684</v>
      </c>
      <c r="AB8" s="193">
        <f t="shared" si="1"/>
        <v>91720200</v>
      </c>
      <c r="AC8" s="193">
        <f t="shared" si="1"/>
        <v>282562484</v>
      </c>
      <c r="AD8" s="193">
        <f t="shared" si="1"/>
        <v>290042193</v>
      </c>
      <c r="AE8" s="193">
        <f t="shared" si="1"/>
        <v>282562484</v>
      </c>
      <c r="AF8" s="193">
        <f t="shared" si="1"/>
        <v>7479709</v>
      </c>
      <c r="AG8" s="190"/>
      <c r="AH8" s="194">
        <f>AB8/(AB8+AE8+AF8)</f>
        <v>0.24025467589731919</v>
      </c>
      <c r="AI8" s="195"/>
      <c r="AJ8" s="196"/>
      <c r="AK8" s="197" t="e">
        <f>SUM(AD8-AE8-#REF!-#REF!)</f>
        <v>#REF!</v>
      </c>
      <c r="AL8" s="198">
        <f>SUM(Q8-(AD8+X8))/Q8</f>
        <v>0.25577518286773349</v>
      </c>
      <c r="AM8" s="199"/>
      <c r="AN8" s="200"/>
      <c r="AO8" s="201"/>
      <c r="AP8" s="202"/>
      <c r="AQ8" s="202"/>
      <c r="AR8" s="125"/>
      <c r="AU8" s="126"/>
    </row>
    <row r="9" spans="1:47" s="120" customFormat="1" ht="63" customHeight="1" x14ac:dyDescent="0.35">
      <c r="A9" s="203"/>
      <c r="B9" s="204"/>
      <c r="C9" s="204"/>
      <c r="D9" s="204"/>
      <c r="E9" s="204"/>
      <c r="F9" s="204"/>
      <c r="G9" s="204"/>
      <c r="H9" s="204"/>
      <c r="I9" s="204"/>
      <c r="J9" s="188" t="s">
        <v>358</v>
      </c>
      <c r="K9" s="205"/>
      <c r="L9" s="205"/>
      <c r="M9" s="205"/>
      <c r="N9" s="190">
        <v>0</v>
      </c>
      <c r="O9" s="190">
        <f>SUM(O8)</f>
        <v>265300000</v>
      </c>
      <c r="P9" s="190">
        <f>SUM(P8)</f>
        <v>0</v>
      </c>
      <c r="Q9" s="190">
        <f>SUM(Q8)</f>
        <v>389723893</v>
      </c>
      <c r="R9" s="190"/>
      <c r="S9" s="191"/>
      <c r="T9" s="190">
        <f>SUM(T8)</f>
        <v>0</v>
      </c>
      <c r="U9" s="190"/>
      <c r="V9" s="190">
        <f>SUM(V8)</f>
        <v>1500000</v>
      </c>
      <c r="W9" s="190">
        <f t="shared" ref="W9:AF9" si="2">SUM(W8)</f>
        <v>6961500</v>
      </c>
      <c r="X9" s="165">
        <f t="shared" si="2"/>
        <v>0</v>
      </c>
      <c r="Y9" s="206">
        <f t="shared" si="2"/>
        <v>0</v>
      </c>
      <c r="Z9" s="193">
        <f t="shared" si="2"/>
        <v>381762393</v>
      </c>
      <c r="AA9" s="193">
        <f t="shared" si="2"/>
        <v>374282684</v>
      </c>
      <c r="AB9" s="193">
        <f t="shared" si="2"/>
        <v>91720200</v>
      </c>
      <c r="AC9" s="193">
        <f t="shared" si="2"/>
        <v>282562484</v>
      </c>
      <c r="AD9" s="206">
        <f t="shared" si="2"/>
        <v>290042193</v>
      </c>
      <c r="AE9" s="206">
        <f t="shared" si="2"/>
        <v>282562484</v>
      </c>
      <c r="AF9" s="206">
        <f t="shared" si="2"/>
        <v>7479709</v>
      </c>
      <c r="AG9" s="207"/>
      <c r="AH9" s="194">
        <f>AB9/(AB9+AE9+AF9)</f>
        <v>0.24025467589731919</v>
      </c>
      <c r="AI9" s="195"/>
      <c r="AJ9" s="196"/>
      <c r="AK9" s="197" t="e">
        <f>SUM(AD9-AE9-#REF!-#REF!)</f>
        <v>#REF!</v>
      </c>
      <c r="AL9" s="198">
        <f>SUM(Q9-(AD9+X9))/Q9</f>
        <v>0.25577518286773349</v>
      </c>
      <c r="AM9" s="208"/>
      <c r="AN9" s="200"/>
      <c r="AO9" s="201"/>
      <c r="AP9" s="202"/>
      <c r="AQ9" s="202"/>
      <c r="AR9" s="185"/>
      <c r="AU9" s="186"/>
    </row>
    <row r="10" spans="1:47" s="28" customFormat="1" ht="37.5" customHeight="1" x14ac:dyDescent="0.35">
      <c r="A10" s="209" t="s">
        <v>100</v>
      </c>
      <c r="B10" s="210">
        <v>2</v>
      </c>
      <c r="C10" s="210">
        <v>0</v>
      </c>
      <c r="D10" s="210">
        <v>3</v>
      </c>
      <c r="E10" s="211">
        <v>50</v>
      </c>
      <c r="F10" s="211">
        <v>3</v>
      </c>
      <c r="G10" s="211"/>
      <c r="H10" s="211"/>
      <c r="I10" s="211"/>
      <c r="J10" s="36" t="s">
        <v>359</v>
      </c>
      <c r="K10" s="212"/>
      <c r="L10" s="212">
        <v>21561938</v>
      </c>
      <c r="M10" s="212"/>
      <c r="N10" s="635">
        <v>28920000</v>
      </c>
      <c r="O10" s="192">
        <v>8500000</v>
      </c>
      <c r="P10" s="213"/>
      <c r="Q10" s="213">
        <f>SUM(N10+O10-P10)</f>
        <v>37420000</v>
      </c>
      <c r="R10" s="45"/>
      <c r="S10" s="163"/>
      <c r="T10" s="45"/>
      <c r="U10" s="45"/>
      <c r="V10" s="45">
        <v>28920000</v>
      </c>
      <c r="W10" s="45"/>
      <c r="X10" s="165"/>
      <c r="Y10" s="166"/>
      <c r="Z10" s="167">
        <f>SUM(Q10-R10-T10-V10-W10-X10-Y10)</f>
        <v>8500000</v>
      </c>
      <c r="AA10" s="640"/>
      <c r="AB10" s="214"/>
      <c r="AC10" s="167"/>
      <c r="AD10" s="166">
        <f>SUM(Z10-AB10)</f>
        <v>8500000</v>
      </c>
      <c r="AE10" s="166"/>
      <c r="AF10" s="169">
        <f>SUM(AD10-AE10)</f>
        <v>8500000</v>
      </c>
      <c r="AG10" s="642">
        <f>SUM(R10+T10+V10+Y10+W10+AB10)</f>
        <v>28920000</v>
      </c>
      <c r="AH10" s="170" t="s">
        <v>36</v>
      </c>
      <c r="AI10" s="171"/>
      <c r="AJ10" s="172"/>
      <c r="AK10" s="173" t="e">
        <f>SUM(AD10-AE10-#REF!-#REF!)</f>
        <v>#REF!</v>
      </c>
      <c r="AL10" s="174">
        <f>SUM(AG10-AN10)/(AG10)</f>
        <v>1</v>
      </c>
      <c r="AM10" s="175"/>
      <c r="AN10" s="183"/>
      <c r="AO10" s="639" t="s">
        <v>586</v>
      </c>
      <c r="AP10" s="52">
        <v>8500000</v>
      </c>
      <c r="AQ10" s="179"/>
      <c r="AR10" s="125"/>
      <c r="AU10" s="126"/>
    </row>
    <row r="11" spans="1:47" s="28" customFormat="1" ht="35.25" customHeight="1" x14ac:dyDescent="0.35">
      <c r="A11" s="209" t="s">
        <v>100</v>
      </c>
      <c r="B11" s="210">
        <v>2</v>
      </c>
      <c r="C11" s="210">
        <v>0</v>
      </c>
      <c r="D11" s="210">
        <v>3</v>
      </c>
      <c r="E11" s="211">
        <v>50</v>
      </c>
      <c r="F11" s="211" t="s">
        <v>101</v>
      </c>
      <c r="G11" s="211">
        <v>0</v>
      </c>
      <c r="H11" s="211">
        <v>10</v>
      </c>
      <c r="I11" s="211"/>
      <c r="J11" s="36" t="s">
        <v>360</v>
      </c>
      <c r="K11" s="212"/>
      <c r="L11" s="212"/>
      <c r="M11" s="212"/>
      <c r="N11" s="635">
        <v>950000</v>
      </c>
      <c r="O11" s="45"/>
      <c r="P11" s="213"/>
      <c r="Q11" s="213">
        <f>SUM(N11+O11-P11)</f>
        <v>950000</v>
      </c>
      <c r="R11" s="45"/>
      <c r="S11" s="163"/>
      <c r="T11" s="45"/>
      <c r="U11" s="45"/>
      <c r="V11" s="45">
        <v>950000</v>
      </c>
      <c r="W11" s="45"/>
      <c r="X11" s="165"/>
      <c r="Y11" s="166"/>
      <c r="Z11" s="167">
        <f>SUM(Q11-R11-T11-V11-W11-X11-Y11)</f>
        <v>0</v>
      </c>
      <c r="AA11" s="640"/>
      <c r="AB11" s="214"/>
      <c r="AC11" s="167"/>
      <c r="AD11" s="166">
        <f>SUM(Z11-AB11)</f>
        <v>0</v>
      </c>
      <c r="AE11" s="166"/>
      <c r="AF11" s="169">
        <f>SUM(AD11-AE11)</f>
        <v>0</v>
      </c>
      <c r="AG11" s="642">
        <f>SUM(R11+T11+V11+Y11+W11+AB11)</f>
        <v>950000</v>
      </c>
      <c r="AH11" s="170" t="s">
        <v>36</v>
      </c>
      <c r="AI11" s="171"/>
      <c r="AJ11" s="172"/>
      <c r="AK11" s="173" t="e">
        <f>SUM(AD11-AE11-#REF!-#REF!)</f>
        <v>#REF!</v>
      </c>
      <c r="AL11" s="174">
        <f>SUM(AG11-AN11)/(AG11)</f>
        <v>1</v>
      </c>
      <c r="AM11" s="182"/>
      <c r="AN11" s="183"/>
      <c r="AO11" s="184"/>
      <c r="AP11" s="52"/>
      <c r="AQ11" s="179"/>
      <c r="AR11" s="125"/>
      <c r="AU11" s="126"/>
    </row>
    <row r="12" spans="1:47" s="28" customFormat="1" ht="50.25" customHeight="1" x14ac:dyDescent="0.35">
      <c r="A12" s="209"/>
      <c r="B12" s="211">
        <v>2</v>
      </c>
      <c r="C12" s="211">
        <v>0</v>
      </c>
      <c r="D12" s="211">
        <v>3</v>
      </c>
      <c r="E12" s="211">
        <v>51</v>
      </c>
      <c r="F12" s="211">
        <v>1</v>
      </c>
      <c r="G12" s="211">
        <v>0</v>
      </c>
      <c r="H12" s="211">
        <v>10</v>
      </c>
      <c r="I12" s="211"/>
      <c r="J12" s="36" t="s">
        <v>361</v>
      </c>
      <c r="K12" s="212"/>
      <c r="L12" s="212"/>
      <c r="M12" s="212"/>
      <c r="N12" s="635">
        <v>0</v>
      </c>
      <c r="O12" s="213"/>
      <c r="P12" s="213"/>
      <c r="Q12" s="213">
        <f>SUM(N12+O12-P12)</f>
        <v>0</v>
      </c>
      <c r="R12" s="45"/>
      <c r="S12" s="163"/>
      <c r="T12" s="45"/>
      <c r="U12" s="45"/>
      <c r="V12" s="45"/>
      <c r="W12" s="45"/>
      <c r="X12" s="165"/>
      <c r="Y12" s="166"/>
      <c r="Z12" s="167">
        <f>SUM(Q12-R12-T12-V12-W12-X12-Y12)</f>
        <v>0</v>
      </c>
      <c r="AA12" s="214"/>
      <c r="AB12" s="214"/>
      <c r="AC12" s="167"/>
      <c r="AD12" s="166">
        <f>SUM(Z12-AB12)</f>
        <v>0</v>
      </c>
      <c r="AE12" s="166"/>
      <c r="AF12" s="166">
        <f>SUM(AD12-AE12)</f>
        <v>0</v>
      </c>
      <c r="AG12" s="642">
        <f>SUM(R12+T12+V12+Y12+W12+AB12)</f>
        <v>0</v>
      </c>
      <c r="AH12" s="170" t="s">
        <v>36</v>
      </c>
      <c r="AI12" s="171"/>
      <c r="AJ12" s="172"/>
      <c r="AK12" s="173" t="e">
        <f>SUM(AD12-AE12-#REF!-#REF!)</f>
        <v>#REF!</v>
      </c>
      <c r="AL12" s="174" t="e">
        <f>SUM(AG12-AN12)/(AG12)</f>
        <v>#DIV/0!</v>
      </c>
      <c r="AM12" s="182"/>
      <c r="AN12" s="183"/>
      <c r="AO12" s="184"/>
      <c r="AP12" s="52"/>
      <c r="AQ12" s="215"/>
      <c r="AR12" s="125"/>
      <c r="AU12" s="126"/>
    </row>
    <row r="13" spans="1:47" s="120" customFormat="1" ht="44.25" customHeight="1" x14ac:dyDescent="0.35">
      <c r="A13" s="180" t="s">
        <v>100</v>
      </c>
      <c r="B13" s="187">
        <v>2</v>
      </c>
      <c r="C13" s="187">
        <v>0</v>
      </c>
      <c r="D13" s="187">
        <v>3</v>
      </c>
      <c r="E13" s="216"/>
      <c r="F13" s="216"/>
      <c r="G13" s="216"/>
      <c r="H13" s="216"/>
      <c r="I13" s="216"/>
      <c r="J13" s="188" t="s">
        <v>362</v>
      </c>
      <c r="K13" s="205"/>
      <c r="L13" s="205"/>
      <c r="M13" s="205"/>
      <c r="N13" s="190">
        <f t="shared" ref="N13:Z13" si="3">SUM(N10:N12)</f>
        <v>29870000</v>
      </c>
      <c r="O13" s="190">
        <f t="shared" si="3"/>
        <v>8500000</v>
      </c>
      <c r="P13" s="190">
        <f t="shared" si="3"/>
        <v>0</v>
      </c>
      <c r="Q13" s="190">
        <f t="shared" si="3"/>
        <v>38370000</v>
      </c>
      <c r="R13" s="190">
        <f t="shared" si="3"/>
        <v>0</v>
      </c>
      <c r="S13" s="190">
        <f t="shared" si="3"/>
        <v>0</v>
      </c>
      <c r="T13" s="190">
        <f t="shared" si="3"/>
        <v>0</v>
      </c>
      <c r="U13" s="190">
        <f t="shared" si="3"/>
        <v>0</v>
      </c>
      <c r="V13" s="190">
        <f t="shared" si="3"/>
        <v>29870000</v>
      </c>
      <c r="W13" s="190">
        <f t="shared" si="3"/>
        <v>0</v>
      </c>
      <c r="X13" s="217">
        <f>SUM(X10:X12)</f>
        <v>0</v>
      </c>
      <c r="Y13" s="193">
        <f t="shared" si="3"/>
        <v>0</v>
      </c>
      <c r="Z13" s="193">
        <f t="shared" si="3"/>
        <v>8500000</v>
      </c>
      <c r="AA13" s="218"/>
      <c r="AB13" s="218"/>
      <c r="AC13" s="218">
        <f t="shared" si="0"/>
        <v>0</v>
      </c>
      <c r="AD13" s="206">
        <f>SUM(AD10:AD11)</f>
        <v>8500000</v>
      </c>
      <c r="AE13" s="206"/>
      <c r="AF13" s="206">
        <f>SUM(AF10:AF11)</f>
        <v>8500000</v>
      </c>
      <c r="AG13" s="207"/>
      <c r="AH13" s="219" t="s">
        <v>36</v>
      </c>
      <c r="AI13" s="220"/>
      <c r="AJ13" s="221"/>
      <c r="AK13" s="222" t="e">
        <f>SUM(AD13-AE13-#REF!+#REF!)</f>
        <v>#REF!</v>
      </c>
      <c r="AL13" s="198">
        <f>SUM(Q13-(AD13+X13))/Q13</f>
        <v>0.77847276518113107</v>
      </c>
      <c r="AM13" s="208"/>
      <c r="AN13" s="200"/>
      <c r="AO13" s="223"/>
      <c r="AP13" s="202"/>
      <c r="AQ13" s="202"/>
      <c r="AR13" s="185"/>
      <c r="AU13" s="186"/>
    </row>
    <row r="14" spans="1:47" s="28" customFormat="1" ht="26.25" x14ac:dyDescent="0.35">
      <c r="A14" s="209" t="s">
        <v>100</v>
      </c>
      <c r="B14" s="210">
        <v>2</v>
      </c>
      <c r="C14" s="210">
        <v>0</v>
      </c>
      <c r="D14" s="210">
        <v>4</v>
      </c>
      <c r="E14" s="211"/>
      <c r="F14" s="211"/>
      <c r="G14" s="211"/>
      <c r="H14" s="211"/>
      <c r="I14" s="211"/>
      <c r="J14" s="224" t="s">
        <v>363</v>
      </c>
      <c r="K14" s="212"/>
      <c r="L14" s="212"/>
      <c r="M14" s="212"/>
      <c r="N14" s="613">
        <v>2601173403</v>
      </c>
      <c r="O14" s="213"/>
      <c r="P14" s="213"/>
      <c r="Q14" s="213"/>
      <c r="R14" s="45"/>
      <c r="S14" s="163"/>
      <c r="T14" s="45"/>
      <c r="U14" s="45"/>
      <c r="V14" s="45"/>
      <c r="W14" s="45"/>
      <c r="X14" s="165"/>
      <c r="Y14" s="166"/>
      <c r="Z14" s="167"/>
      <c r="AA14" s="167"/>
      <c r="AB14" s="167"/>
      <c r="AC14" s="167">
        <f t="shared" si="0"/>
        <v>0</v>
      </c>
      <c r="AD14" s="166"/>
      <c r="AE14" s="166"/>
      <c r="AF14" s="166"/>
      <c r="AG14" s="587"/>
      <c r="AH14" s="225"/>
      <c r="AI14" s="226"/>
      <c r="AJ14" s="227"/>
      <c r="AK14" s="228" t="e">
        <f>SUM(AD14-AE14-#REF!+#REF!)</f>
        <v>#REF!</v>
      </c>
      <c r="AL14" s="229"/>
      <c r="AM14" s="230"/>
      <c r="AN14" s="231"/>
      <c r="AO14" s="232"/>
      <c r="AP14" s="52"/>
      <c r="AQ14" s="52"/>
      <c r="AR14" s="125"/>
      <c r="AU14" s="126"/>
    </row>
    <row r="15" spans="1:47" ht="8.25" customHeight="1" x14ac:dyDescent="0.35">
      <c r="A15" s="233"/>
      <c r="B15" s="234"/>
      <c r="C15" s="234"/>
      <c r="D15" s="234"/>
      <c r="E15" s="234"/>
      <c r="F15" s="234"/>
      <c r="G15" s="234"/>
      <c r="H15" s="234"/>
      <c r="I15" s="234"/>
      <c r="J15" s="235"/>
      <c r="K15" s="236"/>
      <c r="L15" s="236"/>
      <c r="M15" s="237"/>
      <c r="N15" s="238"/>
      <c r="O15" s="238"/>
      <c r="P15" s="238"/>
      <c r="Q15" s="239"/>
      <c r="R15" s="239"/>
      <c r="S15" s="239"/>
      <c r="T15" s="239"/>
      <c r="U15" s="239"/>
      <c r="V15" s="239"/>
      <c r="W15" s="239"/>
      <c r="X15" s="240"/>
      <c r="Y15" s="241"/>
      <c r="Z15" s="241"/>
      <c r="AA15" s="241"/>
      <c r="AB15" s="241"/>
      <c r="AC15" s="241"/>
      <c r="AD15" s="241"/>
      <c r="AE15" s="241"/>
      <c r="AF15" s="241"/>
      <c r="AG15" s="242"/>
      <c r="AH15" s="243"/>
      <c r="AI15" s="244"/>
      <c r="AJ15" s="244"/>
      <c r="AK15" s="245"/>
      <c r="AL15" s="243"/>
      <c r="AM15" s="246"/>
      <c r="AN15" s="200"/>
      <c r="AO15" s="247"/>
      <c r="AP15" s="202"/>
      <c r="AQ15" s="202"/>
    </row>
    <row r="16" spans="1:47" ht="8.25" customHeight="1" x14ac:dyDescent="0.35">
      <c r="A16" s="233"/>
      <c r="B16" s="248"/>
      <c r="C16" s="248"/>
      <c r="D16" s="248"/>
      <c r="E16" s="248"/>
      <c r="F16" s="248"/>
      <c r="G16" s="248"/>
      <c r="H16" s="248"/>
      <c r="I16" s="248"/>
      <c r="J16" s="249"/>
      <c r="K16" s="250"/>
      <c r="L16" s="250"/>
      <c r="M16" s="251"/>
      <c r="N16" s="252"/>
      <c r="O16" s="252"/>
      <c r="P16" s="252"/>
      <c r="Q16" s="253"/>
      <c r="R16" s="253"/>
      <c r="S16" s="253"/>
      <c r="T16" s="253"/>
      <c r="U16" s="253"/>
      <c r="V16" s="253"/>
      <c r="W16" s="253"/>
      <c r="X16" s="254"/>
      <c r="Y16" s="255"/>
      <c r="Z16" s="255"/>
      <c r="AA16" s="255"/>
      <c r="AB16" s="255"/>
      <c r="AC16" s="255"/>
      <c r="AD16" s="255"/>
      <c r="AE16" s="255"/>
      <c r="AF16" s="255"/>
      <c r="AG16" s="242"/>
      <c r="AH16" s="256"/>
      <c r="AI16" s="253"/>
      <c r="AJ16" s="253"/>
      <c r="AK16" s="257"/>
      <c r="AL16" s="256"/>
      <c r="AM16" s="246"/>
      <c r="AN16" s="200"/>
      <c r="AO16" s="247"/>
      <c r="AP16" s="202"/>
      <c r="AQ16" s="202"/>
    </row>
    <row r="17" spans="1:47" s="29" customFormat="1" ht="40.5" customHeight="1" x14ac:dyDescent="0.35">
      <c r="A17" s="27"/>
      <c r="B17" s="793" t="s">
        <v>114</v>
      </c>
      <c r="C17" s="793"/>
      <c r="D17" s="793"/>
      <c r="E17" s="793"/>
      <c r="F17" s="793"/>
      <c r="G17" s="793"/>
      <c r="H17" s="793"/>
      <c r="I17" s="793"/>
      <c r="J17" s="793"/>
      <c r="K17" s="590"/>
      <c r="L17" s="590"/>
      <c r="M17" s="590"/>
      <c r="N17" s="45"/>
      <c r="O17" s="45"/>
      <c r="P17" s="46"/>
      <c r="Q17" s="46"/>
      <c r="R17" s="46"/>
      <c r="S17" s="46"/>
      <c r="T17" s="46"/>
      <c r="U17" s="46"/>
      <c r="V17" s="66"/>
      <c r="W17" s="66"/>
      <c r="X17" s="258">
        <f>SUM(U17)</f>
        <v>0</v>
      </c>
      <c r="Y17" s="66"/>
      <c r="Z17" s="66"/>
      <c r="AA17" s="259"/>
      <c r="AB17" s="66"/>
      <c r="AC17" s="66"/>
      <c r="AD17" s="66"/>
      <c r="AE17" s="66"/>
      <c r="AF17" s="66"/>
      <c r="AG17" s="643"/>
      <c r="AH17" s="66"/>
      <c r="AI17" s="66"/>
      <c r="AJ17" s="66"/>
      <c r="AK17" s="260"/>
      <c r="AL17" s="261"/>
      <c r="AM17" s="230"/>
      <c r="AN17" s="262"/>
      <c r="AO17" s="263"/>
      <c r="AP17" s="77"/>
      <c r="AQ17" s="179">
        <v>0</v>
      </c>
      <c r="AR17" s="264"/>
      <c r="AU17" s="265"/>
    </row>
    <row r="18" spans="1:47" s="29" customFormat="1" ht="36" x14ac:dyDescent="0.35">
      <c r="A18" s="266" t="s">
        <v>100</v>
      </c>
      <c r="B18" s="267">
        <v>2</v>
      </c>
      <c r="C18" s="267">
        <v>0</v>
      </c>
      <c r="D18" s="267">
        <v>4</v>
      </c>
      <c r="E18" s="267">
        <v>1</v>
      </c>
      <c r="F18" s="267">
        <v>6</v>
      </c>
      <c r="G18" s="38" t="s">
        <v>147</v>
      </c>
      <c r="H18" s="25">
        <v>10</v>
      </c>
      <c r="I18" s="25" t="s">
        <v>88</v>
      </c>
      <c r="J18" s="36" t="s">
        <v>364</v>
      </c>
      <c r="K18" s="590">
        <v>26312050</v>
      </c>
      <c r="L18" s="590">
        <v>100121585</v>
      </c>
      <c r="M18" s="590">
        <v>22000000</v>
      </c>
      <c r="N18" s="635"/>
      <c r="O18" s="45"/>
      <c r="P18" s="45"/>
      <c r="Q18" s="45">
        <f>SUM(N18+O18-P18)</f>
        <v>0</v>
      </c>
      <c r="R18" s="268"/>
      <c r="S18" s="269"/>
      <c r="T18" s="268"/>
      <c r="U18" s="268">
        <f>SUM(S18-T18)</f>
        <v>0</v>
      </c>
      <c r="V18" s="63"/>
      <c r="W18" s="63"/>
      <c r="X18" s="258">
        <f>SUM(U18)</f>
        <v>0</v>
      </c>
      <c r="Y18" s="270"/>
      <c r="Z18" s="63">
        <f>SUM(Q18-R18-T18-V18-W18-X18-Y18)</f>
        <v>0</v>
      </c>
      <c r="AA18" s="654"/>
      <c r="AB18" s="63"/>
      <c r="AC18" s="63">
        <f t="shared" si="0"/>
        <v>0</v>
      </c>
      <c r="AD18" s="270">
        <f t="shared" ref="AD18:AD56" si="4">SUM(Z18-AB18)</f>
        <v>0</v>
      </c>
      <c r="AE18" s="270"/>
      <c r="AF18" s="270">
        <f>SUM(AD18-AE18)</f>
        <v>0</v>
      </c>
      <c r="AG18" s="644">
        <f>SUM(R18+T18+V18+Y18+W18+AB18)</f>
        <v>0</v>
      </c>
      <c r="AH18" s="271"/>
      <c r="AI18" s="272"/>
      <c r="AJ18" s="273"/>
      <c r="AK18" s="274" t="e">
        <f>SUM(AD18-AE18-#REF!-#REF!)</f>
        <v>#REF!</v>
      </c>
      <c r="AL18" s="275" t="e">
        <f t="shared" ref="AL18:AL25" si="5">SUM(Q18-(AD18+X18))/Q18</f>
        <v>#DIV/0!</v>
      </c>
      <c r="AM18" s="175"/>
      <c r="AN18" s="262"/>
      <c r="AO18" s="276"/>
      <c r="AP18" s="77"/>
      <c r="AQ18" s="179"/>
      <c r="AR18" s="264"/>
      <c r="AU18" s="265"/>
    </row>
    <row r="19" spans="1:47" s="29" customFormat="1" ht="36" x14ac:dyDescent="0.35">
      <c r="A19" s="27" t="s">
        <v>100</v>
      </c>
      <c r="B19" s="38">
        <v>2</v>
      </c>
      <c r="C19" s="38">
        <v>0</v>
      </c>
      <c r="D19" s="38">
        <v>4</v>
      </c>
      <c r="E19" s="38">
        <v>1</v>
      </c>
      <c r="F19" s="38">
        <v>8</v>
      </c>
      <c r="G19" s="38" t="s">
        <v>147</v>
      </c>
      <c r="H19" s="25">
        <v>10</v>
      </c>
      <c r="I19" s="25" t="s">
        <v>88</v>
      </c>
      <c r="J19" s="42" t="s">
        <v>365</v>
      </c>
      <c r="K19" s="590"/>
      <c r="L19" s="590">
        <v>223529923</v>
      </c>
      <c r="M19" s="590">
        <v>36257167</v>
      </c>
      <c r="N19" s="649">
        <v>20100403</v>
      </c>
      <c r="O19" s="45"/>
      <c r="P19" s="45">
        <v>20100403</v>
      </c>
      <c r="Q19" s="45">
        <f t="shared" ref="Q19:Q24" si="6">SUM(N19+O19-P19)</f>
        <v>0</v>
      </c>
      <c r="R19" s="268"/>
      <c r="S19" s="269"/>
      <c r="T19" s="268"/>
      <c r="U19" s="268">
        <f>SUM(S19-T19)</f>
        <v>0</v>
      </c>
      <c r="V19" s="63"/>
      <c r="W19" s="63"/>
      <c r="X19" s="258">
        <f>SUM(U19)</f>
        <v>0</v>
      </c>
      <c r="Y19" s="270"/>
      <c r="Z19" s="63">
        <f>SUM(Q19-R19-T19-V19-W19-X19-Y19)</f>
        <v>0</v>
      </c>
      <c r="AA19" s="654"/>
      <c r="AB19" s="63"/>
      <c r="AC19" s="63">
        <f t="shared" si="0"/>
        <v>0</v>
      </c>
      <c r="AD19" s="270">
        <f t="shared" si="4"/>
        <v>0</v>
      </c>
      <c r="AE19" s="270"/>
      <c r="AF19" s="270">
        <f>SUM(AD19-AE19)</f>
        <v>0</v>
      </c>
      <c r="AG19" s="644">
        <f>SUM(R19+T19+V19+Y19+W19+AB19)</f>
        <v>0</v>
      </c>
      <c r="AH19" s="271"/>
      <c r="AI19" s="272"/>
      <c r="AJ19" s="273"/>
      <c r="AK19" s="274" t="e">
        <f>SUM(AD19-AE19-#REF!-#REF!)</f>
        <v>#REF!</v>
      </c>
      <c r="AL19" s="275" t="e">
        <f t="shared" si="5"/>
        <v>#DIV/0!</v>
      </c>
      <c r="AM19" s="175"/>
      <c r="AN19" s="262"/>
      <c r="AO19" s="276" t="s">
        <v>622</v>
      </c>
      <c r="AP19" s="77"/>
      <c r="AQ19" s="179"/>
      <c r="AR19" s="264"/>
      <c r="AU19" s="265"/>
    </row>
    <row r="20" spans="1:47" s="29" customFormat="1" ht="138.75" customHeight="1" x14ac:dyDescent="0.35">
      <c r="A20" s="27" t="s">
        <v>100</v>
      </c>
      <c r="B20" s="38">
        <v>2</v>
      </c>
      <c r="C20" s="38">
        <v>0</v>
      </c>
      <c r="D20" s="38">
        <v>4</v>
      </c>
      <c r="E20" s="38">
        <v>1</v>
      </c>
      <c r="F20" s="38">
        <v>25</v>
      </c>
      <c r="G20" s="38" t="s">
        <v>147</v>
      </c>
      <c r="H20" s="25">
        <v>10</v>
      </c>
      <c r="I20" s="25" t="s">
        <v>88</v>
      </c>
      <c r="J20" s="36" t="s">
        <v>186</v>
      </c>
      <c r="K20" s="590">
        <v>162900</v>
      </c>
      <c r="L20" s="590">
        <v>12093007</v>
      </c>
      <c r="M20" s="590">
        <v>438400</v>
      </c>
      <c r="N20" s="649">
        <v>45000000</v>
      </c>
      <c r="O20" s="45"/>
      <c r="P20" s="45"/>
      <c r="Q20" s="45">
        <f t="shared" si="6"/>
        <v>45000000</v>
      </c>
      <c r="R20" s="268">
        <v>500000</v>
      </c>
      <c r="S20" s="268">
        <v>500000</v>
      </c>
      <c r="T20" s="268"/>
      <c r="U20" s="268">
        <f>SUM(S20-T20)</f>
        <v>500000</v>
      </c>
      <c r="V20" s="63"/>
      <c r="W20" s="63"/>
      <c r="X20" s="258">
        <f>SUM(U20)</f>
        <v>500000</v>
      </c>
      <c r="Y20" s="270"/>
      <c r="Z20" s="63">
        <f>SUM(Q20-R20-T20-V20-W20-X20-Y20)</f>
        <v>44000000</v>
      </c>
      <c r="AA20" s="733">
        <v>44000000</v>
      </c>
      <c r="AB20" s="63"/>
      <c r="AC20" s="63">
        <f t="shared" si="0"/>
        <v>44000000</v>
      </c>
      <c r="AD20" s="270">
        <f t="shared" si="4"/>
        <v>44000000</v>
      </c>
      <c r="AE20" s="270">
        <v>44000000</v>
      </c>
      <c r="AF20" s="270">
        <f>SUM(AD20-AE20)</f>
        <v>0</v>
      </c>
      <c r="AG20" s="644">
        <f>SUM(R20+T20+V20+Y20+W20+AB20)</f>
        <v>500000</v>
      </c>
      <c r="AH20" s="271">
        <f>AB20/(AB20+AE20+AF20)</f>
        <v>0</v>
      </c>
      <c r="AI20" s="272"/>
      <c r="AJ20" s="273"/>
      <c r="AK20" s="274" t="e">
        <f>SUM(AD20-AE20-#REF!-#REF!)</f>
        <v>#REF!</v>
      </c>
      <c r="AL20" s="275">
        <f t="shared" si="5"/>
        <v>1.1111111111111112E-2</v>
      </c>
      <c r="AM20" s="175"/>
      <c r="AN20" s="277"/>
      <c r="AO20" s="276"/>
      <c r="AP20" s="77"/>
      <c r="AQ20" s="179"/>
      <c r="AR20" s="264"/>
      <c r="AU20" s="265"/>
    </row>
    <row r="21" spans="1:47" s="29" customFormat="1" ht="45" customHeight="1" x14ac:dyDescent="0.35">
      <c r="A21" s="27" t="s">
        <v>100</v>
      </c>
      <c r="B21" s="38">
        <v>2</v>
      </c>
      <c r="C21" s="38">
        <v>0</v>
      </c>
      <c r="D21" s="38">
        <v>4</v>
      </c>
      <c r="E21" s="38">
        <v>1</v>
      </c>
      <c r="F21" s="38">
        <v>26</v>
      </c>
      <c r="G21" s="38" t="s">
        <v>147</v>
      </c>
      <c r="H21" s="25">
        <v>10</v>
      </c>
      <c r="I21" s="25" t="s">
        <v>88</v>
      </c>
      <c r="J21" s="36" t="s">
        <v>154</v>
      </c>
      <c r="K21" s="590">
        <v>16357798</v>
      </c>
      <c r="L21" s="590"/>
      <c r="M21" s="590"/>
      <c r="N21" s="45"/>
      <c r="O21" s="45"/>
      <c r="P21" s="45"/>
      <c r="Q21" s="45">
        <f t="shared" si="6"/>
        <v>0</v>
      </c>
      <c r="R21" s="268"/>
      <c r="S21" s="268">
        <v>0</v>
      </c>
      <c r="T21" s="268"/>
      <c r="U21" s="268">
        <f>SUM(S21-T21)</f>
        <v>0</v>
      </c>
      <c r="V21" s="63"/>
      <c r="W21" s="63"/>
      <c r="X21" s="258">
        <f>SUM(U21)</f>
        <v>0</v>
      </c>
      <c r="Y21" s="270"/>
      <c r="Z21" s="63">
        <f>SUM(Q21-R21-T21-V21-W21-X21-Y21)</f>
        <v>0</v>
      </c>
      <c r="AA21" s="654"/>
      <c r="AB21" s="63"/>
      <c r="AC21" s="63">
        <f t="shared" si="0"/>
        <v>0</v>
      </c>
      <c r="AD21" s="270">
        <f t="shared" si="4"/>
        <v>0</v>
      </c>
      <c r="AE21" s="270"/>
      <c r="AF21" s="270">
        <f>SUM(AD21-AE21)</f>
        <v>0</v>
      </c>
      <c r="AG21" s="644">
        <f>SUM(R21+T21+V21+Y21+W21+AB21)</f>
        <v>0</v>
      </c>
      <c r="AH21" s="271"/>
      <c r="AI21" s="272"/>
      <c r="AJ21" s="273"/>
      <c r="AK21" s="274" t="e">
        <f>SUM(AD21-AE21-#REF!-#REF!)</f>
        <v>#REF!</v>
      </c>
      <c r="AL21" s="275" t="e">
        <f t="shared" si="5"/>
        <v>#DIV/0!</v>
      </c>
      <c r="AM21" s="175"/>
      <c r="AN21" s="277"/>
      <c r="AO21" s="276"/>
      <c r="AP21" s="77"/>
      <c r="AQ21" s="179"/>
      <c r="AR21" s="278"/>
      <c r="AU21" s="265"/>
    </row>
    <row r="22" spans="1:47" s="34" customFormat="1" x14ac:dyDescent="0.35">
      <c r="A22" s="31"/>
      <c r="B22" s="32"/>
      <c r="C22" s="32"/>
      <c r="D22" s="32"/>
      <c r="E22" s="32"/>
      <c r="F22" s="32"/>
      <c r="G22" s="32"/>
      <c r="H22" s="33"/>
      <c r="I22" s="33"/>
      <c r="J22" s="35" t="s">
        <v>135</v>
      </c>
      <c r="K22" s="279">
        <f t="shared" ref="K22:P22" si="7">SUM(K18:K21)</f>
        <v>42832748</v>
      </c>
      <c r="L22" s="279">
        <f t="shared" si="7"/>
        <v>335744515</v>
      </c>
      <c r="M22" s="279">
        <f t="shared" si="7"/>
        <v>58695567</v>
      </c>
      <c r="N22" s="280">
        <f t="shared" si="7"/>
        <v>65100403</v>
      </c>
      <c r="O22" s="280">
        <f t="shared" si="7"/>
        <v>0</v>
      </c>
      <c r="P22" s="280">
        <f t="shared" si="7"/>
        <v>20100403</v>
      </c>
      <c r="Q22" s="280">
        <f t="shared" si="6"/>
        <v>45000000</v>
      </c>
      <c r="R22" s="49">
        <f t="shared" ref="R22:AF22" si="8">SUM(R18:R21)</f>
        <v>500000</v>
      </c>
      <c r="S22" s="49">
        <f t="shared" si="8"/>
        <v>500000</v>
      </c>
      <c r="T22" s="49">
        <f t="shared" si="8"/>
        <v>0</v>
      </c>
      <c r="U22" s="49">
        <f t="shared" si="8"/>
        <v>500000</v>
      </c>
      <c r="V22" s="39">
        <f t="shared" si="8"/>
        <v>0</v>
      </c>
      <c r="W22" s="39">
        <f t="shared" si="8"/>
        <v>0</v>
      </c>
      <c r="X22" s="281">
        <f t="shared" si="8"/>
        <v>500000</v>
      </c>
      <c r="Y22" s="39">
        <f t="shared" si="8"/>
        <v>0</v>
      </c>
      <c r="Z22" s="39">
        <f t="shared" si="8"/>
        <v>44000000</v>
      </c>
      <c r="AA22" s="39">
        <f t="shared" si="8"/>
        <v>44000000</v>
      </c>
      <c r="AB22" s="39">
        <f t="shared" si="8"/>
        <v>0</v>
      </c>
      <c r="AC22" s="39">
        <f t="shared" si="8"/>
        <v>44000000</v>
      </c>
      <c r="AD22" s="39">
        <f t="shared" si="8"/>
        <v>44000000</v>
      </c>
      <c r="AE22" s="39">
        <f t="shared" si="8"/>
        <v>44000000</v>
      </c>
      <c r="AF22" s="39">
        <f t="shared" si="8"/>
        <v>0</v>
      </c>
      <c r="AG22" s="282"/>
      <c r="AH22" s="283">
        <f>AB22/(AB22+AE22+AF22)</f>
        <v>0</v>
      </c>
      <c r="AI22" s="284"/>
      <c r="AJ22" s="39"/>
      <c r="AK22" s="285" t="e">
        <f>SUM(AD22-AE22-#REF!-#REF!)</f>
        <v>#REF!</v>
      </c>
      <c r="AL22" s="286">
        <f t="shared" si="5"/>
        <v>1.1111111111111112E-2</v>
      </c>
      <c r="AM22" s="208"/>
      <c r="AN22" s="287"/>
      <c r="AO22" s="288"/>
      <c r="AP22" s="289"/>
      <c r="AQ22" s="289"/>
      <c r="AR22" s="290"/>
      <c r="AU22" s="291"/>
    </row>
    <row r="23" spans="1:47" s="29" customFormat="1" ht="38.25" customHeight="1" x14ac:dyDescent="0.35">
      <c r="A23" s="27" t="s">
        <v>100</v>
      </c>
      <c r="B23" s="38">
        <v>2</v>
      </c>
      <c r="C23" s="38">
        <v>0</v>
      </c>
      <c r="D23" s="38">
        <v>4</v>
      </c>
      <c r="E23" s="38">
        <v>2</v>
      </c>
      <c r="F23" s="38">
        <v>2</v>
      </c>
      <c r="G23" s="38" t="s">
        <v>147</v>
      </c>
      <c r="H23" s="25">
        <v>10</v>
      </c>
      <c r="I23" s="25" t="s">
        <v>88</v>
      </c>
      <c r="J23" s="36" t="s">
        <v>366</v>
      </c>
      <c r="K23" s="590">
        <v>23500000</v>
      </c>
      <c r="L23" s="590"/>
      <c r="M23" s="590"/>
      <c r="N23" s="45"/>
      <c r="O23" s="45"/>
      <c r="P23" s="45"/>
      <c r="Q23" s="45">
        <f t="shared" si="6"/>
        <v>0</v>
      </c>
      <c r="R23" s="268"/>
      <c r="S23" s="268"/>
      <c r="T23" s="268"/>
      <c r="U23" s="268"/>
      <c r="V23" s="63"/>
      <c r="W23" s="63"/>
      <c r="X23" s="258">
        <f>SUM(U23)</f>
        <v>0</v>
      </c>
      <c r="Y23" s="270"/>
      <c r="Z23" s="63">
        <f>SUM(Q23-R23-T23-V23-W23-X23-Y23)</f>
        <v>0</v>
      </c>
      <c r="AA23" s="270"/>
      <c r="AB23" s="63"/>
      <c r="AC23" s="63">
        <f t="shared" si="0"/>
        <v>0</v>
      </c>
      <c r="AD23" s="270">
        <f t="shared" si="4"/>
        <v>0</v>
      </c>
      <c r="AE23" s="270"/>
      <c r="AF23" s="270">
        <f>SUM(AD23-AE23)</f>
        <v>0</v>
      </c>
      <c r="AG23" s="644">
        <f>SUM(R23+T23+V23+Y23+W23+AB23)</f>
        <v>0</v>
      </c>
      <c r="AH23" s="271"/>
      <c r="AI23" s="272"/>
      <c r="AJ23" s="273"/>
      <c r="AK23" s="274" t="e">
        <f>SUM(AD23-AE23-#REF!-#REF!)</f>
        <v>#REF!</v>
      </c>
      <c r="AL23" s="275" t="e">
        <f t="shared" si="5"/>
        <v>#DIV/0!</v>
      </c>
      <c r="AM23" s="175"/>
      <c r="AN23" s="292"/>
      <c r="AO23" s="293"/>
      <c r="AP23" s="77"/>
      <c r="AQ23" s="179">
        <f>SUM(AF23)</f>
        <v>0</v>
      </c>
      <c r="AR23" s="264"/>
      <c r="AU23" s="265"/>
    </row>
    <row r="24" spans="1:47" s="29" customFormat="1" ht="36" x14ac:dyDescent="0.35">
      <c r="A24" s="27" t="s">
        <v>100</v>
      </c>
      <c r="B24" s="38">
        <v>2</v>
      </c>
      <c r="C24" s="38">
        <v>0</v>
      </c>
      <c r="D24" s="38">
        <v>4</v>
      </c>
      <c r="E24" s="38">
        <v>2</v>
      </c>
      <c r="F24" s="38">
        <v>2</v>
      </c>
      <c r="G24" s="38" t="s">
        <v>147</v>
      </c>
      <c r="H24" s="25">
        <v>10</v>
      </c>
      <c r="I24" s="25" t="s">
        <v>88</v>
      </c>
      <c r="J24" s="36" t="s">
        <v>367</v>
      </c>
      <c r="K24" s="590">
        <v>3540146</v>
      </c>
      <c r="L24" s="590">
        <v>12221424.199999999</v>
      </c>
      <c r="M24" s="590"/>
      <c r="N24" s="635">
        <v>20000000</v>
      </c>
      <c r="O24" s="45"/>
      <c r="P24" s="45"/>
      <c r="Q24" s="45">
        <f t="shared" si="6"/>
        <v>20000000</v>
      </c>
      <c r="R24" s="268"/>
      <c r="S24" s="268"/>
      <c r="T24" s="268"/>
      <c r="U24" s="268"/>
      <c r="V24" s="63"/>
      <c r="W24" s="63"/>
      <c r="X24" s="258">
        <f>SUM(U24)</f>
        <v>0</v>
      </c>
      <c r="Y24" s="270"/>
      <c r="Z24" s="63">
        <f>SUM(Q24-R24-T24-V24-W24-X24-Y24)</f>
        <v>20000000</v>
      </c>
      <c r="AA24" s="734">
        <v>20000000</v>
      </c>
      <c r="AB24" s="63"/>
      <c r="AC24" s="63">
        <f t="shared" si="0"/>
        <v>20000000</v>
      </c>
      <c r="AD24" s="270">
        <f t="shared" si="4"/>
        <v>20000000</v>
      </c>
      <c r="AE24" s="270">
        <v>20000000</v>
      </c>
      <c r="AF24" s="270">
        <f>SUM(AD24-AE24)</f>
        <v>0</v>
      </c>
      <c r="AG24" s="644">
        <f>SUM(R24+T24+V24+Y24+W24+AB24)</f>
        <v>0</v>
      </c>
      <c r="AH24" s="271"/>
      <c r="AI24" s="272"/>
      <c r="AJ24" s="273"/>
      <c r="AK24" s="274" t="e">
        <f>SUM(AD24-AE24-#REF!-#REF!)</f>
        <v>#REF!</v>
      </c>
      <c r="AL24" s="275">
        <f t="shared" si="5"/>
        <v>0</v>
      </c>
      <c r="AM24" s="175"/>
      <c r="AN24" s="292"/>
      <c r="AO24" s="293"/>
      <c r="AP24" s="77"/>
      <c r="AQ24" s="179"/>
      <c r="AR24" s="264"/>
      <c r="AU24" s="265"/>
    </row>
    <row r="25" spans="1:47" s="34" customFormat="1" x14ac:dyDescent="0.35">
      <c r="A25" s="31"/>
      <c r="B25" s="32"/>
      <c r="C25" s="32"/>
      <c r="D25" s="32"/>
      <c r="E25" s="32"/>
      <c r="F25" s="32"/>
      <c r="G25" s="32"/>
      <c r="H25" s="33"/>
      <c r="I25" s="33"/>
      <c r="J25" s="35" t="s">
        <v>368</v>
      </c>
      <c r="K25" s="279">
        <f t="shared" ref="K25:Q25" si="9">SUM(K23:K24)</f>
        <v>27040146</v>
      </c>
      <c r="L25" s="279">
        <f t="shared" si="9"/>
        <v>12221424.199999999</v>
      </c>
      <c r="M25" s="279">
        <f t="shared" si="9"/>
        <v>0</v>
      </c>
      <c r="N25" s="280">
        <f t="shared" si="9"/>
        <v>20000000</v>
      </c>
      <c r="O25" s="280">
        <f t="shared" si="9"/>
        <v>0</v>
      </c>
      <c r="P25" s="280">
        <f t="shared" si="9"/>
        <v>0</v>
      </c>
      <c r="Q25" s="280">
        <f t="shared" si="9"/>
        <v>20000000</v>
      </c>
      <c r="R25" s="49"/>
      <c r="S25" s="49">
        <f t="shared" ref="S25:Z25" si="10">SUM(S23:S24)</f>
        <v>0</v>
      </c>
      <c r="T25" s="49">
        <f t="shared" si="10"/>
        <v>0</v>
      </c>
      <c r="U25" s="49">
        <f t="shared" si="10"/>
        <v>0</v>
      </c>
      <c r="V25" s="39">
        <f t="shared" si="10"/>
        <v>0</v>
      </c>
      <c r="W25" s="39">
        <f t="shared" si="10"/>
        <v>0</v>
      </c>
      <c r="X25" s="281">
        <f t="shared" si="10"/>
        <v>0</v>
      </c>
      <c r="Y25" s="284">
        <f t="shared" si="10"/>
        <v>0</v>
      </c>
      <c r="Z25" s="284">
        <f t="shared" si="10"/>
        <v>20000000</v>
      </c>
      <c r="AA25" s="39">
        <f>SUM(AA23:AA24)</f>
        <v>20000000</v>
      </c>
      <c r="AB25" s="39">
        <f>SUM(AB23:AB24)</f>
        <v>0</v>
      </c>
      <c r="AC25" s="39">
        <f t="shared" si="0"/>
        <v>20000000</v>
      </c>
      <c r="AD25" s="284">
        <f>SUM(AD23:AD24)</f>
        <v>20000000</v>
      </c>
      <c r="AE25" s="284">
        <f>SUM(AE23:AE24)</f>
        <v>20000000</v>
      </c>
      <c r="AF25" s="284">
        <f>SUM(AF23:AF24)</f>
        <v>0</v>
      </c>
      <c r="AG25" s="282"/>
      <c r="AH25" s="294">
        <v>0</v>
      </c>
      <c r="AI25" s="284"/>
      <c r="AJ25" s="39"/>
      <c r="AK25" s="285" t="e">
        <f>SUM(AD25-AE25-#REF!-#REF!)</f>
        <v>#REF!</v>
      </c>
      <c r="AL25" s="286">
        <f t="shared" si="5"/>
        <v>0</v>
      </c>
      <c r="AM25" s="208"/>
      <c r="AN25" s="287"/>
      <c r="AO25" s="288"/>
      <c r="AP25" s="289"/>
      <c r="AQ25" s="289"/>
      <c r="AR25" s="290"/>
      <c r="AU25" s="291"/>
    </row>
    <row r="26" spans="1:47" s="29" customFormat="1" ht="39.75" customHeight="1" x14ac:dyDescent="0.35">
      <c r="A26" s="27"/>
      <c r="B26" s="793" t="s">
        <v>127</v>
      </c>
      <c r="C26" s="793"/>
      <c r="D26" s="793"/>
      <c r="E26" s="793"/>
      <c r="F26" s="793"/>
      <c r="G26" s="793"/>
      <c r="H26" s="793"/>
      <c r="I26" s="793"/>
      <c r="J26" s="793"/>
      <c r="K26" s="25"/>
      <c r="L26" s="25"/>
      <c r="M26" s="25"/>
      <c r="N26" s="50"/>
      <c r="O26" s="50"/>
      <c r="P26" s="50"/>
      <c r="Q26" s="50"/>
      <c r="R26" s="295"/>
      <c r="S26" s="295"/>
      <c r="T26" s="295"/>
      <c r="U26" s="295"/>
      <c r="V26" s="64"/>
      <c r="W26" s="64"/>
      <c r="X26" s="296"/>
      <c r="Y26" s="64"/>
      <c r="Z26" s="64"/>
      <c r="AA26" s="64"/>
      <c r="AB26" s="64"/>
      <c r="AC26" s="64"/>
      <c r="AD26" s="64"/>
      <c r="AE26" s="64"/>
      <c r="AF26" s="64"/>
      <c r="AG26" s="644"/>
      <c r="AH26" s="271"/>
      <c r="AI26" s="297"/>
      <c r="AJ26" s="273"/>
      <c r="AK26" s="274" t="e">
        <f>SUM(AD26-AE26-#REF!-#REF!)</f>
        <v>#REF!</v>
      </c>
      <c r="AL26" s="298"/>
      <c r="AM26" s="230"/>
      <c r="AN26" s="262"/>
      <c r="AO26" s="263"/>
      <c r="AP26" s="77"/>
      <c r="AQ26" s="179">
        <f t="shared" ref="AQ26" si="11">SUM(AF26)</f>
        <v>0</v>
      </c>
      <c r="AR26" s="264"/>
      <c r="AU26" s="265"/>
    </row>
    <row r="27" spans="1:47" s="303" customFormat="1" ht="93" x14ac:dyDescent="0.35">
      <c r="A27" s="299" t="s">
        <v>100</v>
      </c>
      <c r="B27" s="38">
        <v>2</v>
      </c>
      <c r="C27" s="38">
        <v>0</v>
      </c>
      <c r="D27" s="38">
        <v>4</v>
      </c>
      <c r="E27" s="38">
        <v>4</v>
      </c>
      <c r="F27" s="38">
        <v>1</v>
      </c>
      <c r="G27" s="38" t="s">
        <v>147</v>
      </c>
      <c r="H27" s="25">
        <v>10</v>
      </c>
      <c r="I27" s="25" t="s">
        <v>88</v>
      </c>
      <c r="J27" s="42" t="s">
        <v>369</v>
      </c>
      <c r="K27" s="590">
        <v>47820000</v>
      </c>
      <c r="L27" s="590">
        <v>33224716</v>
      </c>
      <c r="M27" s="590">
        <v>39200000</v>
      </c>
      <c r="N27" s="649">
        <v>43000000</v>
      </c>
      <c r="O27" s="45"/>
      <c r="P27" s="45"/>
      <c r="Q27" s="45">
        <f t="shared" ref="Q27:Q35" si="12">SUM(N27+O27-P27)</f>
        <v>43000000</v>
      </c>
      <c r="R27" s="268"/>
      <c r="S27" s="268"/>
      <c r="T27" s="268"/>
      <c r="U27" s="268"/>
      <c r="V27" s="63"/>
      <c r="W27" s="63"/>
      <c r="X27" s="258">
        <f t="shared" ref="X27:X35" si="13">SUM(U27)</f>
        <v>0</v>
      </c>
      <c r="Y27" s="270"/>
      <c r="Z27" s="63">
        <f t="shared" ref="Z27:Z35" si="14">SUM(Q27-R27-T27-V27-W27-X27-Y27)</f>
        <v>43000000</v>
      </c>
      <c r="AA27" s="731">
        <v>40000000</v>
      </c>
      <c r="AB27" s="300">
        <v>40000000</v>
      </c>
      <c r="AC27" s="63">
        <f t="shared" si="0"/>
        <v>0</v>
      </c>
      <c r="AD27" s="301">
        <f t="shared" si="4"/>
        <v>3000000</v>
      </c>
      <c r="AE27" s="270"/>
      <c r="AF27" s="270">
        <f t="shared" ref="AF27:AF35" si="15">SUM(AD27-AE27)</f>
        <v>3000000</v>
      </c>
      <c r="AG27" s="644">
        <f t="shared" ref="AG27:AG35" si="16">SUM(R27+T27+V27+Y27+W27+AB27)</f>
        <v>40000000</v>
      </c>
      <c r="AH27" s="271">
        <f t="shared" ref="AH27:AH33" si="17">AB27/(AB27+AE27+AF27)</f>
        <v>0.93023255813953487</v>
      </c>
      <c r="AI27" s="272"/>
      <c r="AJ27" s="273"/>
      <c r="AK27" s="274" t="e">
        <f>SUM(AD27-AE27-#REF!-#REF!)</f>
        <v>#REF!</v>
      </c>
      <c r="AL27" s="275">
        <f t="shared" ref="AL27:AL36" si="18">SUM(Q27-(AD27+X27))/Q27</f>
        <v>0.93023255813953487</v>
      </c>
      <c r="AM27" s="175"/>
      <c r="AN27" s="262"/>
      <c r="AO27" s="276" t="s">
        <v>605</v>
      </c>
      <c r="AP27" s="77"/>
      <c r="AQ27" s="179"/>
      <c r="AR27" s="302"/>
      <c r="AU27" s="304"/>
    </row>
    <row r="28" spans="1:47" s="29" customFormat="1" ht="36" x14ac:dyDescent="0.35">
      <c r="A28" s="27" t="s">
        <v>100</v>
      </c>
      <c r="B28" s="38">
        <v>2</v>
      </c>
      <c r="C28" s="38">
        <v>0</v>
      </c>
      <c r="D28" s="38">
        <v>4</v>
      </c>
      <c r="E28" s="38">
        <v>4</v>
      </c>
      <c r="F28" s="38">
        <v>2</v>
      </c>
      <c r="G28" s="38" t="s">
        <v>147</v>
      </c>
      <c r="H28" s="25">
        <v>10</v>
      </c>
      <c r="I28" s="25" t="s">
        <v>88</v>
      </c>
      <c r="J28" s="42" t="s">
        <v>370</v>
      </c>
      <c r="K28" s="590">
        <v>16709800</v>
      </c>
      <c r="L28" s="590">
        <v>20291970</v>
      </c>
      <c r="M28" s="590">
        <v>15172027</v>
      </c>
      <c r="N28" s="649">
        <v>24000000</v>
      </c>
      <c r="O28" s="45"/>
      <c r="P28" s="45"/>
      <c r="Q28" s="45">
        <f t="shared" si="12"/>
        <v>24000000</v>
      </c>
      <c r="R28" s="268"/>
      <c r="S28" s="268"/>
      <c r="T28" s="268"/>
      <c r="U28" s="268"/>
      <c r="V28" s="63"/>
      <c r="W28" s="63"/>
      <c r="X28" s="258">
        <f t="shared" si="13"/>
        <v>0</v>
      </c>
      <c r="Y28" s="305"/>
      <c r="Z28" s="63">
        <f t="shared" si="14"/>
        <v>24000000</v>
      </c>
      <c r="AA28" s="731">
        <v>24000000</v>
      </c>
      <c r="AB28" s="63"/>
      <c r="AC28" s="63">
        <f t="shared" si="0"/>
        <v>24000000</v>
      </c>
      <c r="AD28" s="270">
        <f t="shared" si="4"/>
        <v>24000000</v>
      </c>
      <c r="AE28" s="270">
        <v>24000000</v>
      </c>
      <c r="AF28" s="270">
        <f t="shared" si="15"/>
        <v>0</v>
      </c>
      <c r="AG28" s="644">
        <f t="shared" si="16"/>
        <v>0</v>
      </c>
      <c r="AH28" s="271">
        <f t="shared" si="17"/>
        <v>0</v>
      </c>
      <c r="AI28" s="272"/>
      <c r="AJ28" s="273"/>
      <c r="AK28" s="274" t="e">
        <f>SUM(AD28-AE28-#REF!-#REF!)</f>
        <v>#REF!</v>
      </c>
      <c r="AL28" s="275">
        <f t="shared" si="18"/>
        <v>0</v>
      </c>
      <c r="AM28" s="175"/>
      <c r="AN28" s="277"/>
      <c r="AO28" s="276"/>
      <c r="AP28" s="77"/>
      <c r="AQ28" s="179"/>
      <c r="AR28" s="306"/>
      <c r="AS28" s="306"/>
      <c r="AT28" s="306"/>
      <c r="AU28" s="265"/>
    </row>
    <row r="29" spans="1:47" s="29" customFormat="1" ht="51" customHeight="1" x14ac:dyDescent="0.35">
      <c r="A29" s="27" t="s">
        <v>100</v>
      </c>
      <c r="B29" s="38">
        <v>2</v>
      </c>
      <c r="C29" s="38">
        <v>0</v>
      </c>
      <c r="D29" s="38">
        <v>4</v>
      </c>
      <c r="E29" s="38">
        <v>4</v>
      </c>
      <c r="F29" s="38">
        <v>6</v>
      </c>
      <c r="G29" s="38" t="s">
        <v>147</v>
      </c>
      <c r="H29" s="25">
        <v>10</v>
      </c>
      <c r="I29" s="25" t="s">
        <v>88</v>
      </c>
      <c r="J29" s="42" t="s">
        <v>371</v>
      </c>
      <c r="K29" s="590">
        <v>0</v>
      </c>
      <c r="L29" s="590">
        <v>2504440</v>
      </c>
      <c r="M29" s="590"/>
      <c r="N29" s="649">
        <v>8000000</v>
      </c>
      <c r="O29" s="45"/>
      <c r="P29" s="45"/>
      <c r="Q29" s="45">
        <f t="shared" si="12"/>
        <v>8000000</v>
      </c>
      <c r="R29" s="45"/>
      <c r="S29" s="45"/>
      <c r="T29" s="45"/>
      <c r="U29" s="45"/>
      <c r="V29" s="63"/>
      <c r="W29" s="63"/>
      <c r="X29" s="258">
        <f t="shared" si="13"/>
        <v>0</v>
      </c>
      <c r="Y29" s="270"/>
      <c r="Z29" s="63">
        <f t="shared" si="14"/>
        <v>8000000</v>
      </c>
      <c r="AA29" s="731">
        <v>4000000</v>
      </c>
      <c r="AB29" s="63"/>
      <c r="AC29" s="63">
        <f t="shared" si="0"/>
        <v>4000000</v>
      </c>
      <c r="AD29" s="270">
        <f>SUM(Z29-AB29)</f>
        <v>8000000</v>
      </c>
      <c r="AE29" s="270">
        <v>4000000</v>
      </c>
      <c r="AF29" s="270">
        <f t="shared" si="15"/>
        <v>4000000</v>
      </c>
      <c r="AG29" s="644">
        <f t="shared" si="16"/>
        <v>0</v>
      </c>
      <c r="AH29" s="271">
        <f t="shared" si="17"/>
        <v>0</v>
      </c>
      <c r="AI29" s="272"/>
      <c r="AJ29" s="273"/>
      <c r="AK29" s="274" t="e">
        <f>SUM(AD29-AE29-#REF!-#REF!)</f>
        <v>#REF!</v>
      </c>
      <c r="AL29" s="275">
        <f t="shared" si="18"/>
        <v>0</v>
      </c>
      <c r="AM29" s="175"/>
      <c r="AN29" s="277" t="s">
        <v>372</v>
      </c>
      <c r="AO29" s="276" t="s">
        <v>664</v>
      </c>
      <c r="AP29" s="77"/>
      <c r="AQ29" s="179"/>
      <c r="AR29" s="264"/>
      <c r="AT29" s="307"/>
      <c r="AU29" s="265"/>
    </row>
    <row r="30" spans="1:47" s="29" customFormat="1" ht="93" x14ac:dyDescent="0.35">
      <c r="A30" s="27" t="s">
        <v>100</v>
      </c>
      <c r="B30" s="38">
        <v>2</v>
      </c>
      <c r="C30" s="38">
        <v>0</v>
      </c>
      <c r="D30" s="38">
        <v>4</v>
      </c>
      <c r="E30" s="38">
        <v>4</v>
      </c>
      <c r="F30" s="38">
        <v>15</v>
      </c>
      <c r="G30" s="38" t="s">
        <v>147</v>
      </c>
      <c r="H30" s="25">
        <v>10</v>
      </c>
      <c r="I30" s="25" t="s">
        <v>88</v>
      </c>
      <c r="J30" s="42" t="s">
        <v>155</v>
      </c>
      <c r="K30" s="590">
        <v>81595684</v>
      </c>
      <c r="L30" s="590">
        <v>53324791</v>
      </c>
      <c r="M30" s="590">
        <v>41517993</v>
      </c>
      <c r="N30" s="649">
        <v>182000000</v>
      </c>
      <c r="O30" s="45"/>
      <c r="P30" s="45">
        <v>9000000</v>
      </c>
      <c r="Q30" s="45">
        <f>SUM(N30+O30-P30)</f>
        <v>173000000</v>
      </c>
      <c r="R30" s="268"/>
      <c r="S30" s="268">
        <v>1900000</v>
      </c>
      <c r="T30" s="308"/>
      <c r="U30" s="268">
        <f>SUM(S30-T30)</f>
        <v>1900000</v>
      </c>
      <c r="V30" s="63"/>
      <c r="W30" s="63"/>
      <c r="X30" s="258">
        <f t="shared" si="13"/>
        <v>1900000</v>
      </c>
      <c r="Y30" s="309"/>
      <c r="Z30" s="63">
        <f t="shared" si="14"/>
        <v>171100000</v>
      </c>
      <c r="AA30" s="731">
        <v>161039836</v>
      </c>
      <c r="AB30" s="310"/>
      <c r="AC30" s="63">
        <f t="shared" si="0"/>
        <v>161039836</v>
      </c>
      <c r="AD30" s="270">
        <f t="shared" si="4"/>
        <v>171100000</v>
      </c>
      <c r="AE30" s="270">
        <v>161039836</v>
      </c>
      <c r="AF30" s="270">
        <f t="shared" si="15"/>
        <v>10060164</v>
      </c>
      <c r="AG30" s="644">
        <f t="shared" si="16"/>
        <v>0</v>
      </c>
      <c r="AH30" s="271">
        <f t="shared" si="17"/>
        <v>0</v>
      </c>
      <c r="AI30" s="272"/>
      <c r="AJ30" s="273"/>
      <c r="AK30" s="274" t="e">
        <f>SUM(AD30-AE30-#REF!-#REF!)</f>
        <v>#REF!</v>
      </c>
      <c r="AL30" s="275">
        <f t="shared" si="18"/>
        <v>0</v>
      </c>
      <c r="AM30" s="175"/>
      <c r="AN30" s="277" t="s">
        <v>373</v>
      </c>
      <c r="AO30" s="276" t="s">
        <v>1224</v>
      </c>
      <c r="AP30" s="311"/>
      <c r="AQ30" s="179"/>
      <c r="AR30" s="264"/>
      <c r="AS30" s="312"/>
      <c r="AT30" s="307"/>
      <c r="AU30" s="265"/>
    </row>
    <row r="31" spans="1:47" s="29" customFormat="1" ht="36" x14ac:dyDescent="0.35">
      <c r="A31" s="27" t="s">
        <v>100</v>
      </c>
      <c r="B31" s="38">
        <v>2</v>
      </c>
      <c r="C31" s="38">
        <v>0</v>
      </c>
      <c r="D31" s="38">
        <v>4</v>
      </c>
      <c r="E31" s="38">
        <v>4</v>
      </c>
      <c r="F31" s="38">
        <v>17</v>
      </c>
      <c r="G31" s="38" t="s">
        <v>147</v>
      </c>
      <c r="H31" s="25">
        <v>10</v>
      </c>
      <c r="I31" s="25" t="s">
        <v>88</v>
      </c>
      <c r="J31" s="42" t="s">
        <v>128</v>
      </c>
      <c r="K31" s="590">
        <v>5851314</v>
      </c>
      <c r="L31" s="590">
        <v>19552811.359999999</v>
      </c>
      <c r="M31" s="590"/>
      <c r="N31" s="45">
        <v>400000</v>
      </c>
      <c r="O31" s="45"/>
      <c r="P31" s="45"/>
      <c r="Q31" s="45">
        <f t="shared" si="12"/>
        <v>400000</v>
      </c>
      <c r="R31" s="268"/>
      <c r="S31" s="268">
        <v>100000</v>
      </c>
      <c r="T31" s="308"/>
      <c r="U31" s="268">
        <f t="shared" ref="U31:U35" si="19">SUM(S31-T31)</f>
        <v>100000</v>
      </c>
      <c r="V31" s="63"/>
      <c r="W31" s="63"/>
      <c r="X31" s="258">
        <f t="shared" si="13"/>
        <v>100000</v>
      </c>
      <c r="Y31" s="270"/>
      <c r="Z31" s="63">
        <f t="shared" si="14"/>
        <v>300000</v>
      </c>
      <c r="AA31" s="63"/>
      <c r="AB31" s="63"/>
      <c r="AC31" s="63">
        <f t="shared" si="0"/>
        <v>0</v>
      </c>
      <c r="AD31" s="270">
        <f t="shared" si="4"/>
        <v>300000</v>
      </c>
      <c r="AE31" s="270">
        <v>0</v>
      </c>
      <c r="AF31" s="270">
        <f t="shared" si="15"/>
        <v>300000</v>
      </c>
      <c r="AG31" s="644">
        <f t="shared" si="16"/>
        <v>0</v>
      </c>
      <c r="AH31" s="271">
        <f t="shared" si="17"/>
        <v>0</v>
      </c>
      <c r="AI31" s="272"/>
      <c r="AJ31" s="273"/>
      <c r="AK31" s="274" t="e">
        <f>SUM(AD31-AE31-#REF!-#REF!)</f>
        <v>#REF!</v>
      </c>
      <c r="AL31" s="275">
        <f t="shared" si="18"/>
        <v>0</v>
      </c>
      <c r="AM31" s="175"/>
      <c r="AN31" s="262"/>
      <c r="AO31" s="276"/>
      <c r="AP31" s="77"/>
      <c r="AQ31" s="179"/>
      <c r="AR31" s="264"/>
      <c r="AT31" s="307"/>
      <c r="AU31" s="265"/>
    </row>
    <row r="32" spans="1:47" s="29" customFormat="1" ht="51.75" customHeight="1" x14ac:dyDescent="0.35">
      <c r="A32" s="27" t="s">
        <v>100</v>
      </c>
      <c r="B32" s="38">
        <v>2</v>
      </c>
      <c r="C32" s="38">
        <v>0</v>
      </c>
      <c r="D32" s="38">
        <v>4</v>
      </c>
      <c r="E32" s="38">
        <v>4</v>
      </c>
      <c r="F32" s="38">
        <v>18</v>
      </c>
      <c r="G32" s="38" t="s">
        <v>147</v>
      </c>
      <c r="H32" s="25">
        <v>10</v>
      </c>
      <c r="I32" s="25" t="s">
        <v>88</v>
      </c>
      <c r="J32" s="42" t="s">
        <v>129</v>
      </c>
      <c r="K32" s="590">
        <v>21568574.789999999</v>
      </c>
      <c r="L32" s="590">
        <v>30327391.84</v>
      </c>
      <c r="M32" s="590"/>
      <c r="N32" s="45">
        <v>18800000</v>
      </c>
      <c r="O32" s="45"/>
      <c r="P32" s="45"/>
      <c r="Q32" s="45">
        <f t="shared" si="12"/>
        <v>18800000</v>
      </c>
      <c r="R32" s="268"/>
      <c r="S32" s="268">
        <v>18800000</v>
      </c>
      <c r="T32" s="308">
        <v>1271452</v>
      </c>
      <c r="U32" s="268">
        <f t="shared" si="19"/>
        <v>17528548</v>
      </c>
      <c r="V32" s="63"/>
      <c r="W32" s="63"/>
      <c r="X32" s="258">
        <f t="shared" si="13"/>
        <v>17528548</v>
      </c>
      <c r="Y32" s="270"/>
      <c r="Z32" s="63">
        <f t="shared" si="14"/>
        <v>0</v>
      </c>
      <c r="AA32" s="63"/>
      <c r="AB32" s="63"/>
      <c r="AC32" s="63">
        <f t="shared" si="0"/>
        <v>0</v>
      </c>
      <c r="AD32" s="270">
        <f t="shared" si="4"/>
        <v>0</v>
      </c>
      <c r="AE32" s="270"/>
      <c r="AF32" s="270">
        <f t="shared" si="15"/>
        <v>0</v>
      </c>
      <c r="AG32" s="644">
        <f>SUM(R32+T32+V32+Y32+W32+AB32)</f>
        <v>1271452</v>
      </c>
      <c r="AH32" s="271" t="e">
        <f t="shared" si="17"/>
        <v>#DIV/0!</v>
      </c>
      <c r="AI32" s="272"/>
      <c r="AJ32" s="273"/>
      <c r="AK32" s="274" t="e">
        <f>SUM(AD32-AE32-#REF!-#REF!)</f>
        <v>#REF!</v>
      </c>
      <c r="AL32" s="275">
        <f t="shared" si="18"/>
        <v>6.7630425531914895E-2</v>
      </c>
      <c r="AM32" s="175"/>
      <c r="AN32" s="262" t="s">
        <v>374</v>
      </c>
      <c r="AO32" s="276"/>
      <c r="AP32" s="77"/>
      <c r="AQ32" s="179">
        <f t="shared" ref="AQ32:AQ34" si="20">SUM(AF32)</f>
        <v>0</v>
      </c>
      <c r="AR32" s="264"/>
      <c r="AT32" s="307"/>
      <c r="AU32" s="265"/>
    </row>
    <row r="33" spans="1:47" s="28" customFormat="1" ht="112.15" customHeight="1" x14ac:dyDescent="0.35">
      <c r="A33" s="27">
        <v>0</v>
      </c>
      <c r="B33" s="38">
        <v>2</v>
      </c>
      <c r="C33" s="38">
        <v>0</v>
      </c>
      <c r="D33" s="38">
        <v>4</v>
      </c>
      <c r="E33" s="38">
        <v>4</v>
      </c>
      <c r="F33" s="38">
        <v>20</v>
      </c>
      <c r="G33" s="38" t="s">
        <v>147</v>
      </c>
      <c r="H33" s="25">
        <v>10</v>
      </c>
      <c r="I33" s="25" t="s">
        <v>88</v>
      </c>
      <c r="J33" s="42" t="s">
        <v>176</v>
      </c>
      <c r="K33" s="313">
        <v>30837092</v>
      </c>
      <c r="L33" s="313">
        <v>31584291</v>
      </c>
      <c r="M33" s="313">
        <v>35972143</v>
      </c>
      <c r="N33" s="635">
        <v>30000000</v>
      </c>
      <c r="O33" s="45"/>
      <c r="P33" s="45"/>
      <c r="Q33" s="45">
        <f t="shared" si="12"/>
        <v>30000000</v>
      </c>
      <c r="R33" s="268"/>
      <c r="S33" s="268">
        <v>1000000</v>
      </c>
      <c r="T33" s="308">
        <v>601250</v>
      </c>
      <c r="U33" s="268">
        <f t="shared" si="19"/>
        <v>398750</v>
      </c>
      <c r="V33" s="63"/>
      <c r="W33" s="66">
        <v>10728709</v>
      </c>
      <c r="X33" s="258">
        <f t="shared" si="13"/>
        <v>398750</v>
      </c>
      <c r="Y33" s="270"/>
      <c r="Z33" s="63">
        <f t="shared" si="14"/>
        <v>18271291</v>
      </c>
      <c r="AA33" s="733">
        <v>15000000</v>
      </c>
      <c r="AB33" s="63"/>
      <c r="AC33" s="63">
        <f t="shared" si="0"/>
        <v>15000000</v>
      </c>
      <c r="AD33" s="270">
        <f t="shared" si="4"/>
        <v>18271291</v>
      </c>
      <c r="AE33" s="270">
        <v>15000000</v>
      </c>
      <c r="AF33" s="270">
        <f t="shared" si="15"/>
        <v>3271291</v>
      </c>
      <c r="AG33" s="644">
        <f t="shared" si="16"/>
        <v>11329959</v>
      </c>
      <c r="AH33" s="271">
        <f t="shared" si="17"/>
        <v>0</v>
      </c>
      <c r="AI33" s="272"/>
      <c r="AJ33" s="273"/>
      <c r="AK33" s="274" t="e">
        <f>SUM(AD33-AE33-#REF!-#REF!)</f>
        <v>#REF!</v>
      </c>
      <c r="AL33" s="275">
        <f t="shared" si="18"/>
        <v>0.37766529999999998</v>
      </c>
      <c r="AM33" s="175"/>
      <c r="AN33" s="277" t="s">
        <v>435</v>
      </c>
      <c r="AO33" s="276" t="s">
        <v>1231</v>
      </c>
      <c r="AP33" s="77"/>
      <c r="AQ33" s="179"/>
      <c r="AR33" s="125"/>
      <c r="AT33" s="307"/>
      <c r="AU33" s="126"/>
    </row>
    <row r="34" spans="1:47" s="28" customFormat="1" ht="36" x14ac:dyDescent="0.35">
      <c r="A34" s="27" t="s">
        <v>100</v>
      </c>
      <c r="B34" s="38">
        <v>2</v>
      </c>
      <c r="C34" s="38">
        <v>0</v>
      </c>
      <c r="D34" s="38">
        <v>4</v>
      </c>
      <c r="E34" s="38">
        <v>4</v>
      </c>
      <c r="F34" s="38">
        <v>21</v>
      </c>
      <c r="G34" s="38" t="s">
        <v>147</v>
      </c>
      <c r="H34" s="25">
        <v>10</v>
      </c>
      <c r="I34" s="25" t="s">
        <v>88</v>
      </c>
      <c r="J34" s="36" t="s">
        <v>151</v>
      </c>
      <c r="K34" s="590">
        <v>471340</v>
      </c>
      <c r="L34" s="590">
        <v>169190</v>
      </c>
      <c r="M34" s="590"/>
      <c r="N34" s="45"/>
      <c r="O34" s="45"/>
      <c r="P34" s="45"/>
      <c r="Q34" s="45">
        <f t="shared" si="12"/>
        <v>0</v>
      </c>
      <c r="R34" s="268"/>
      <c r="S34" s="268">
        <v>0</v>
      </c>
      <c r="T34" s="268"/>
      <c r="U34" s="268">
        <f t="shared" si="19"/>
        <v>0</v>
      </c>
      <c r="V34" s="63"/>
      <c r="W34" s="63"/>
      <c r="X34" s="258">
        <f t="shared" si="13"/>
        <v>0</v>
      </c>
      <c r="Y34" s="270"/>
      <c r="Z34" s="63">
        <f t="shared" si="14"/>
        <v>0</v>
      </c>
      <c r="AA34" s="63"/>
      <c r="AB34" s="63"/>
      <c r="AC34" s="63">
        <f t="shared" si="0"/>
        <v>0</v>
      </c>
      <c r="AD34" s="270">
        <f t="shared" si="4"/>
        <v>0</v>
      </c>
      <c r="AE34" s="270"/>
      <c r="AF34" s="270">
        <f t="shared" si="15"/>
        <v>0</v>
      </c>
      <c r="AG34" s="644">
        <f t="shared" si="16"/>
        <v>0</v>
      </c>
      <c r="AH34" s="271"/>
      <c r="AI34" s="272"/>
      <c r="AJ34" s="273"/>
      <c r="AK34" s="274" t="e">
        <f>SUM(AD34-AE34-#REF!-#REF!)</f>
        <v>#REF!</v>
      </c>
      <c r="AL34" s="275" t="e">
        <f t="shared" si="18"/>
        <v>#DIV/0!</v>
      </c>
      <c r="AM34" s="175"/>
      <c r="AN34" s="262"/>
      <c r="AO34" s="276"/>
      <c r="AP34" s="77"/>
      <c r="AQ34" s="179">
        <f t="shared" si="20"/>
        <v>0</v>
      </c>
      <c r="AR34" s="125"/>
      <c r="AT34" s="307"/>
      <c r="AU34" s="126"/>
    </row>
    <row r="35" spans="1:47" s="28" customFormat="1" ht="36" x14ac:dyDescent="0.35">
      <c r="A35" s="27" t="s">
        <v>100</v>
      </c>
      <c r="B35" s="38">
        <v>2</v>
      </c>
      <c r="C35" s="38">
        <v>0</v>
      </c>
      <c r="D35" s="38">
        <v>4</v>
      </c>
      <c r="E35" s="38">
        <v>4</v>
      </c>
      <c r="F35" s="38">
        <v>23</v>
      </c>
      <c r="G35" s="38" t="s">
        <v>147</v>
      </c>
      <c r="H35" s="25">
        <v>10</v>
      </c>
      <c r="I35" s="25" t="s">
        <v>88</v>
      </c>
      <c r="J35" s="36" t="s">
        <v>130</v>
      </c>
      <c r="K35" s="590">
        <v>6562350</v>
      </c>
      <c r="L35" s="590">
        <v>3699162</v>
      </c>
      <c r="M35" s="590">
        <v>23036241</v>
      </c>
      <c r="N35" s="45">
        <v>5000000</v>
      </c>
      <c r="O35" s="45"/>
      <c r="P35" s="45"/>
      <c r="Q35" s="45">
        <f t="shared" si="12"/>
        <v>5000000</v>
      </c>
      <c r="R35" s="268">
        <v>4000000</v>
      </c>
      <c r="S35" s="268">
        <v>0</v>
      </c>
      <c r="T35" s="268"/>
      <c r="U35" s="268">
        <f t="shared" si="19"/>
        <v>0</v>
      </c>
      <c r="V35" s="63"/>
      <c r="W35" s="63"/>
      <c r="X35" s="258">
        <f t="shared" si="13"/>
        <v>0</v>
      </c>
      <c r="Y35" s="270"/>
      <c r="Z35" s="63">
        <f t="shared" si="14"/>
        <v>1000000</v>
      </c>
      <c r="AA35" s="63">
        <v>0</v>
      </c>
      <c r="AB35" s="63"/>
      <c r="AC35" s="63">
        <f t="shared" si="0"/>
        <v>0</v>
      </c>
      <c r="AD35" s="270">
        <f t="shared" si="4"/>
        <v>1000000</v>
      </c>
      <c r="AE35" s="270"/>
      <c r="AF35" s="270">
        <f t="shared" si="15"/>
        <v>1000000</v>
      </c>
      <c r="AG35" s="644">
        <f t="shared" si="16"/>
        <v>4000000</v>
      </c>
      <c r="AH35" s="271"/>
      <c r="AI35" s="272"/>
      <c r="AJ35" s="273"/>
      <c r="AK35" s="274" t="e">
        <f>SUM(AD35-AE35-#REF!-#REF!)</f>
        <v>#REF!</v>
      </c>
      <c r="AL35" s="275">
        <f t="shared" si="18"/>
        <v>0.8</v>
      </c>
      <c r="AM35" s="175"/>
      <c r="AN35" s="262"/>
      <c r="AO35" s="276"/>
      <c r="AP35" s="77"/>
      <c r="AQ35" s="179"/>
      <c r="AR35" s="125"/>
      <c r="AT35" s="307"/>
      <c r="AU35" s="126"/>
    </row>
    <row r="36" spans="1:47" s="34" customFormat="1" x14ac:dyDescent="0.35">
      <c r="A36" s="31"/>
      <c r="B36" s="32"/>
      <c r="C36" s="32"/>
      <c r="D36" s="32"/>
      <c r="E36" s="32"/>
      <c r="F36" s="32"/>
      <c r="G36" s="32"/>
      <c r="H36" s="33"/>
      <c r="I36" s="33"/>
      <c r="J36" s="35" t="s">
        <v>131</v>
      </c>
      <c r="K36" s="279">
        <f t="shared" ref="K36:W36" si="21">SUM(K27:K35)</f>
        <v>211416154.78999999</v>
      </c>
      <c r="L36" s="279">
        <f t="shared" si="21"/>
        <v>194678763.19999999</v>
      </c>
      <c r="M36" s="279">
        <f t="shared" si="21"/>
        <v>154898404</v>
      </c>
      <c r="N36" s="280">
        <f t="shared" ref="N36:S36" si="22">SUM(N27:N35)</f>
        <v>311200000</v>
      </c>
      <c r="O36" s="280">
        <f t="shared" si="22"/>
        <v>0</v>
      </c>
      <c r="P36" s="280">
        <f t="shared" si="22"/>
        <v>9000000</v>
      </c>
      <c r="Q36" s="280">
        <f t="shared" si="22"/>
        <v>302200000</v>
      </c>
      <c r="R36" s="49">
        <f t="shared" si="22"/>
        <v>4000000</v>
      </c>
      <c r="S36" s="49">
        <f t="shared" si="22"/>
        <v>21800000</v>
      </c>
      <c r="T36" s="49">
        <f>SUM(T27:T35)</f>
        <v>1872702</v>
      </c>
      <c r="U36" s="49">
        <f t="shared" si="21"/>
        <v>19927298</v>
      </c>
      <c r="V36" s="39">
        <f t="shared" si="21"/>
        <v>0</v>
      </c>
      <c r="W36" s="39">
        <f t="shared" si="21"/>
        <v>10728709</v>
      </c>
      <c r="X36" s="258">
        <f t="shared" ref="X36:AF36" si="23">SUM(X27:X35)</f>
        <v>19927298</v>
      </c>
      <c r="Y36" s="284">
        <f t="shared" si="23"/>
        <v>0</v>
      </c>
      <c r="Z36" s="39">
        <f t="shared" si="23"/>
        <v>265671291</v>
      </c>
      <c r="AA36" s="39">
        <f>SUM(AA27:AA35)</f>
        <v>244039836</v>
      </c>
      <c r="AB36" s="39">
        <f t="shared" si="23"/>
        <v>40000000</v>
      </c>
      <c r="AC36" s="39">
        <f t="shared" si="23"/>
        <v>204039836</v>
      </c>
      <c r="AD36" s="284">
        <f t="shared" si="23"/>
        <v>225671291</v>
      </c>
      <c r="AE36" s="284">
        <f>SUM(AE27:AE35)</f>
        <v>204039836</v>
      </c>
      <c r="AF36" s="284">
        <f t="shared" si="23"/>
        <v>21631455</v>
      </c>
      <c r="AG36" s="282"/>
      <c r="AH36" s="314">
        <f>SUM(AB36/Z36)</f>
        <v>0.15056199655385422</v>
      </c>
      <c r="AI36" s="284"/>
      <c r="AJ36" s="284">
        <f>SUM(AJ27:AJ35)</f>
        <v>0</v>
      </c>
      <c r="AK36" s="285" t="e">
        <f>SUM(AD36-AE36-#REF!-#REF!)</f>
        <v>#REF!</v>
      </c>
      <c r="AL36" s="286">
        <f t="shared" si="18"/>
        <v>0.1872978524156188</v>
      </c>
      <c r="AM36" s="315"/>
      <c r="AN36" s="287"/>
      <c r="AO36" s="288"/>
      <c r="AP36" s="289"/>
      <c r="AQ36" s="289"/>
      <c r="AR36" s="290"/>
      <c r="AU36" s="291"/>
    </row>
    <row r="37" spans="1:47" s="28" customFormat="1" ht="45" customHeight="1" x14ac:dyDescent="0.35">
      <c r="A37" s="27"/>
      <c r="B37" s="793" t="s">
        <v>132</v>
      </c>
      <c r="C37" s="793"/>
      <c r="D37" s="793"/>
      <c r="E37" s="793"/>
      <c r="F37" s="793"/>
      <c r="G37" s="793"/>
      <c r="H37" s="793"/>
      <c r="I37" s="793"/>
      <c r="J37" s="793"/>
      <c r="K37" s="25"/>
      <c r="L37" s="25"/>
      <c r="M37" s="25"/>
      <c r="N37" s="50"/>
      <c r="O37" s="50"/>
      <c r="P37" s="50"/>
      <c r="Q37" s="50"/>
      <c r="R37" s="50"/>
      <c r="S37" s="50"/>
      <c r="T37" s="50"/>
      <c r="U37" s="50"/>
      <c r="V37" s="64"/>
      <c r="W37" s="64"/>
      <c r="X37" s="296"/>
      <c r="Y37" s="64"/>
      <c r="Z37" s="64"/>
      <c r="AA37" s="64"/>
      <c r="AB37" s="64"/>
      <c r="AC37" s="64"/>
      <c r="AD37" s="64"/>
      <c r="AE37" s="64"/>
      <c r="AF37" s="64"/>
      <c r="AG37" s="645"/>
      <c r="AH37" s="271"/>
      <c r="AI37" s="316"/>
      <c r="AJ37" s="273"/>
      <c r="AK37" s="274" t="e">
        <f>SUM(AD37-AE37-#REF!-#REF!)</f>
        <v>#REF!</v>
      </c>
      <c r="AL37" s="317"/>
      <c r="AM37" s="230"/>
      <c r="AN37" s="262"/>
      <c r="AO37" s="263"/>
      <c r="AP37" s="77"/>
      <c r="AQ37" s="77"/>
      <c r="AR37" s="318"/>
      <c r="AU37" s="126"/>
    </row>
    <row r="38" spans="1:47" s="28" customFormat="1" ht="36" x14ac:dyDescent="0.35">
      <c r="A38" s="27" t="s">
        <v>100</v>
      </c>
      <c r="B38" s="38">
        <v>2</v>
      </c>
      <c r="C38" s="38">
        <v>0</v>
      </c>
      <c r="D38" s="38">
        <v>4</v>
      </c>
      <c r="E38" s="38">
        <v>5</v>
      </c>
      <c r="F38" s="38">
        <v>1</v>
      </c>
      <c r="G38" s="38" t="s">
        <v>147</v>
      </c>
      <c r="H38" s="25">
        <v>10</v>
      </c>
      <c r="I38" s="25" t="s">
        <v>88</v>
      </c>
      <c r="J38" s="42" t="s">
        <v>375</v>
      </c>
      <c r="K38" s="590">
        <v>6719205</v>
      </c>
      <c r="L38" s="590">
        <v>19966682</v>
      </c>
      <c r="M38" s="590">
        <v>6801902</v>
      </c>
      <c r="N38" s="635">
        <v>110520000</v>
      </c>
      <c r="O38" s="45"/>
      <c r="P38" s="45">
        <v>37020000</v>
      </c>
      <c r="Q38" s="45">
        <f t="shared" ref="Q38:Q44" si="24">SUM(N38+O38-P38)</f>
        <v>73500000</v>
      </c>
      <c r="R38" s="268"/>
      <c r="S38" s="268">
        <v>2500000</v>
      </c>
      <c r="T38" s="308">
        <v>350000</v>
      </c>
      <c r="U38" s="268">
        <f t="shared" ref="U38:U44" si="25">SUM(S38-T38)</f>
        <v>2150000</v>
      </c>
      <c r="V38" s="63"/>
      <c r="W38" s="63"/>
      <c r="X38" s="258">
        <f t="shared" ref="X38:X44" si="26">SUM(U38)</f>
        <v>2150000</v>
      </c>
      <c r="Y38" s="270"/>
      <c r="Z38" s="63">
        <f t="shared" ref="Z38:Z44" si="27">SUM(Q38-R38-T38-V38-W38-X38-Y38)</f>
        <v>71000000</v>
      </c>
      <c r="AA38" s="731">
        <v>71000000</v>
      </c>
      <c r="AB38" s="310"/>
      <c r="AC38" s="63">
        <f t="shared" si="0"/>
        <v>71000000</v>
      </c>
      <c r="AD38" s="270">
        <f t="shared" si="4"/>
        <v>71000000</v>
      </c>
      <c r="AE38" s="270">
        <v>71000000</v>
      </c>
      <c r="AF38" s="270">
        <f t="shared" ref="AF38:AF44" si="28">SUM(AD38-AE38)</f>
        <v>0</v>
      </c>
      <c r="AG38" s="644">
        <f t="shared" ref="AG38:AG44" si="29">SUM(R38+T38+V38+Y38+W38+AB38)</f>
        <v>350000</v>
      </c>
      <c r="AH38" s="271">
        <f t="shared" ref="AH38:AH43" si="30">AB38/(AB38+AE38+AF38)</f>
        <v>0</v>
      </c>
      <c r="AI38" s="272"/>
      <c r="AJ38" s="273"/>
      <c r="AK38" s="274" t="e">
        <f>SUM(AD38-AE38-#REF!-#REF!)</f>
        <v>#REF!</v>
      </c>
      <c r="AL38" s="275">
        <f t="shared" ref="AL38:AL44" si="31">SUM(Q38-(AD38+X38))/Q38</f>
        <v>4.7619047619047623E-3</v>
      </c>
      <c r="AM38" s="175"/>
      <c r="AN38" s="277"/>
      <c r="AO38" s="276" t="s">
        <v>590</v>
      </c>
      <c r="AP38" s="77"/>
      <c r="AQ38" s="179"/>
      <c r="AR38" s="318"/>
      <c r="AS38" s="319"/>
      <c r="AU38" s="320"/>
    </row>
    <row r="39" spans="1:47" s="28" customFormat="1" ht="69.75" x14ac:dyDescent="0.35">
      <c r="A39" s="27" t="s">
        <v>100</v>
      </c>
      <c r="B39" s="38">
        <v>2</v>
      </c>
      <c r="C39" s="38">
        <v>0</v>
      </c>
      <c r="D39" s="38">
        <v>4</v>
      </c>
      <c r="E39" s="38">
        <v>5</v>
      </c>
      <c r="F39" s="38">
        <v>2</v>
      </c>
      <c r="G39" s="38" t="s">
        <v>147</v>
      </c>
      <c r="H39" s="25">
        <v>10</v>
      </c>
      <c r="I39" s="25" t="s">
        <v>88</v>
      </c>
      <c r="J39" s="42" t="s">
        <v>185</v>
      </c>
      <c r="K39" s="313">
        <v>7601780</v>
      </c>
      <c r="L39" s="313">
        <v>16820404</v>
      </c>
      <c r="M39" s="313">
        <v>6296858</v>
      </c>
      <c r="N39" s="635">
        <v>35500000</v>
      </c>
      <c r="O39" s="45"/>
      <c r="P39" s="45">
        <v>5035527</v>
      </c>
      <c r="Q39" s="45">
        <f t="shared" si="24"/>
        <v>30464473</v>
      </c>
      <c r="R39" s="268"/>
      <c r="S39" s="321">
        <v>5200000</v>
      </c>
      <c r="T39" s="322">
        <v>20000</v>
      </c>
      <c r="U39" s="268">
        <f t="shared" si="25"/>
        <v>5180000</v>
      </c>
      <c r="V39" s="63"/>
      <c r="W39" s="65"/>
      <c r="X39" s="258">
        <f t="shared" si="26"/>
        <v>5180000</v>
      </c>
      <c r="Y39" s="270"/>
      <c r="Z39" s="63">
        <f t="shared" si="27"/>
        <v>25264473</v>
      </c>
      <c r="AA39" s="735">
        <v>15500000</v>
      </c>
      <c r="AB39" s="63">
        <v>6064473</v>
      </c>
      <c r="AC39" s="63">
        <f t="shared" si="0"/>
        <v>9435527</v>
      </c>
      <c r="AD39" s="270">
        <f t="shared" si="4"/>
        <v>19200000</v>
      </c>
      <c r="AE39" s="270">
        <v>9200000</v>
      </c>
      <c r="AF39" s="270">
        <f t="shared" si="28"/>
        <v>10000000</v>
      </c>
      <c r="AG39" s="644">
        <f t="shared" si="29"/>
        <v>6084473</v>
      </c>
      <c r="AH39" s="271">
        <f t="shared" si="30"/>
        <v>0.2400395606906188</v>
      </c>
      <c r="AI39" s="272"/>
      <c r="AJ39" s="273"/>
      <c r="AK39" s="274" t="e">
        <f>SUM(AD39-AE39-#REF!-#REF!)</f>
        <v>#REF!</v>
      </c>
      <c r="AL39" s="275">
        <f t="shared" si="31"/>
        <v>0.19972355996442151</v>
      </c>
      <c r="AM39" s="175"/>
      <c r="AN39" s="277"/>
      <c r="AO39" s="276" t="s">
        <v>1232</v>
      </c>
      <c r="AP39" s="77"/>
      <c r="AQ39" s="179"/>
      <c r="AR39" s="323"/>
      <c r="AU39" s="126"/>
    </row>
    <row r="40" spans="1:47" s="28" customFormat="1" ht="67.5" customHeight="1" x14ac:dyDescent="0.35">
      <c r="A40" s="27" t="s">
        <v>100</v>
      </c>
      <c r="B40" s="38">
        <v>2</v>
      </c>
      <c r="C40" s="38">
        <v>0</v>
      </c>
      <c r="D40" s="38">
        <v>4</v>
      </c>
      <c r="E40" s="38">
        <v>5</v>
      </c>
      <c r="F40" s="38">
        <v>5</v>
      </c>
      <c r="G40" s="38" t="s">
        <v>147</v>
      </c>
      <c r="H40" s="25">
        <v>10</v>
      </c>
      <c r="I40" s="25" t="s">
        <v>88</v>
      </c>
      <c r="J40" s="42" t="s">
        <v>184</v>
      </c>
      <c r="K40" s="324">
        <v>79507354</v>
      </c>
      <c r="L40" s="324">
        <v>287072300.5</v>
      </c>
      <c r="M40" s="324">
        <v>192403910</v>
      </c>
      <c r="N40" s="635">
        <v>131200000</v>
      </c>
      <c r="O40" s="45"/>
      <c r="P40" s="45"/>
      <c r="Q40" s="45">
        <f t="shared" si="24"/>
        <v>131200000</v>
      </c>
      <c r="R40" s="268"/>
      <c r="S40" s="268">
        <v>600000</v>
      </c>
      <c r="T40" s="308">
        <v>47600</v>
      </c>
      <c r="U40" s="268">
        <f t="shared" si="25"/>
        <v>552400</v>
      </c>
      <c r="V40" s="63"/>
      <c r="W40" s="66">
        <v>110564465</v>
      </c>
      <c r="X40" s="258">
        <f t="shared" si="26"/>
        <v>552400</v>
      </c>
      <c r="Y40" s="270"/>
      <c r="Z40" s="63">
        <f t="shared" si="27"/>
        <v>20035535</v>
      </c>
      <c r="AA40" s="735"/>
      <c r="AB40" s="63"/>
      <c r="AC40" s="63">
        <f t="shared" si="0"/>
        <v>0</v>
      </c>
      <c r="AD40" s="270">
        <f t="shared" si="4"/>
        <v>20035535</v>
      </c>
      <c r="AE40" s="270"/>
      <c r="AF40" s="270">
        <f t="shared" si="28"/>
        <v>20035535</v>
      </c>
      <c r="AG40" s="644">
        <f t="shared" si="29"/>
        <v>110612065</v>
      </c>
      <c r="AH40" s="271">
        <f t="shared" si="30"/>
        <v>0</v>
      </c>
      <c r="AI40" s="272"/>
      <c r="AJ40" s="273"/>
      <c r="AK40" s="274" t="e">
        <f>SUM(AD40-AE40-#REF!-#REF!)</f>
        <v>#REF!</v>
      </c>
      <c r="AL40" s="275">
        <f t="shared" si="31"/>
        <v>0.84307976371951221</v>
      </c>
      <c r="AM40" s="175"/>
      <c r="AN40" s="262"/>
      <c r="AO40" s="739" t="s">
        <v>1225</v>
      </c>
      <c r="AP40" s="77"/>
      <c r="AQ40" s="179"/>
      <c r="AR40" s="325"/>
      <c r="AU40" s="126"/>
    </row>
    <row r="41" spans="1:47" s="28" customFormat="1" ht="78.75" customHeight="1" x14ac:dyDescent="0.35">
      <c r="A41" s="30" t="s">
        <v>100</v>
      </c>
      <c r="B41" s="38">
        <v>2</v>
      </c>
      <c r="C41" s="38">
        <v>0</v>
      </c>
      <c r="D41" s="38">
        <v>4</v>
      </c>
      <c r="E41" s="38">
        <v>5</v>
      </c>
      <c r="F41" s="38">
        <v>6</v>
      </c>
      <c r="G41" s="38" t="s">
        <v>147</v>
      </c>
      <c r="H41" s="25">
        <v>10</v>
      </c>
      <c r="I41" s="25" t="s">
        <v>88</v>
      </c>
      <c r="J41" s="42" t="s">
        <v>116</v>
      </c>
      <c r="K41" s="590">
        <v>21600000</v>
      </c>
      <c r="L41" s="590">
        <v>21600000</v>
      </c>
      <c r="M41" s="590">
        <v>17451732</v>
      </c>
      <c r="N41" s="635">
        <v>29000000</v>
      </c>
      <c r="O41" s="45"/>
      <c r="P41" s="45"/>
      <c r="Q41" s="45">
        <f t="shared" si="24"/>
        <v>29000000</v>
      </c>
      <c r="R41" s="268"/>
      <c r="S41" s="268"/>
      <c r="T41" s="268"/>
      <c r="U41" s="268">
        <f t="shared" si="25"/>
        <v>0</v>
      </c>
      <c r="V41" s="63"/>
      <c r="W41" s="63">
        <v>8331010</v>
      </c>
      <c r="X41" s="258">
        <f t="shared" si="26"/>
        <v>0</v>
      </c>
      <c r="Y41" s="270"/>
      <c r="Z41" s="63">
        <f t="shared" si="27"/>
        <v>20668990</v>
      </c>
      <c r="AA41" s="731">
        <v>2000000</v>
      </c>
      <c r="AB41" s="63"/>
      <c r="AC41" s="63">
        <f t="shared" si="0"/>
        <v>2000000</v>
      </c>
      <c r="AD41" s="270">
        <f t="shared" si="4"/>
        <v>20668990</v>
      </c>
      <c r="AE41" s="270">
        <v>2000000</v>
      </c>
      <c r="AF41" s="270">
        <f t="shared" si="28"/>
        <v>18668990</v>
      </c>
      <c r="AG41" s="644">
        <f t="shared" si="29"/>
        <v>8331010</v>
      </c>
      <c r="AH41" s="271"/>
      <c r="AI41" s="272"/>
      <c r="AJ41" s="273"/>
      <c r="AK41" s="274" t="e">
        <f>SUM(AD41-AE41-#REF!-#REF!)</f>
        <v>#REF!</v>
      </c>
      <c r="AL41" s="275">
        <f t="shared" si="31"/>
        <v>0.2872762068965517</v>
      </c>
      <c r="AM41" s="175"/>
      <c r="AN41" s="277"/>
      <c r="AO41" s="276" t="s">
        <v>600</v>
      </c>
      <c r="AP41" s="77"/>
      <c r="AQ41" s="179"/>
      <c r="AR41" s="318"/>
      <c r="AU41" s="126"/>
    </row>
    <row r="42" spans="1:47" s="28" customFormat="1" ht="78" customHeight="1" x14ac:dyDescent="0.35">
      <c r="A42" s="27" t="s">
        <v>100</v>
      </c>
      <c r="B42" s="38">
        <v>2</v>
      </c>
      <c r="C42" s="38">
        <v>0</v>
      </c>
      <c r="D42" s="38">
        <v>4</v>
      </c>
      <c r="E42" s="38">
        <v>5</v>
      </c>
      <c r="F42" s="38">
        <v>8</v>
      </c>
      <c r="G42" s="38" t="s">
        <v>147</v>
      </c>
      <c r="H42" s="25">
        <v>10</v>
      </c>
      <c r="I42" s="25" t="s">
        <v>88</v>
      </c>
      <c r="J42" s="42" t="s">
        <v>133</v>
      </c>
      <c r="K42" s="590">
        <v>102285363.8</v>
      </c>
      <c r="L42" s="590">
        <v>105523727</v>
      </c>
      <c r="M42" s="590">
        <v>89283685</v>
      </c>
      <c r="N42" s="635">
        <v>189000000</v>
      </c>
      <c r="O42" s="45"/>
      <c r="P42" s="45"/>
      <c r="Q42" s="45">
        <f t="shared" si="24"/>
        <v>189000000</v>
      </c>
      <c r="R42" s="268"/>
      <c r="S42" s="268"/>
      <c r="T42" s="268"/>
      <c r="U42" s="268">
        <f t="shared" si="25"/>
        <v>0</v>
      </c>
      <c r="V42" s="63"/>
      <c r="W42" s="63">
        <v>89919593.219999999</v>
      </c>
      <c r="X42" s="258">
        <f t="shared" si="26"/>
        <v>0</v>
      </c>
      <c r="Y42" s="270"/>
      <c r="Z42" s="63">
        <f t="shared" si="27"/>
        <v>99080406.780000001</v>
      </c>
      <c r="AA42" s="731">
        <v>22000000</v>
      </c>
      <c r="AB42" s="63"/>
      <c r="AC42" s="63">
        <f t="shared" si="0"/>
        <v>22000000</v>
      </c>
      <c r="AD42" s="270">
        <f t="shared" si="4"/>
        <v>99080406.780000001</v>
      </c>
      <c r="AE42" s="270">
        <v>22000000</v>
      </c>
      <c r="AF42" s="270">
        <f t="shared" si="28"/>
        <v>77080406.780000001</v>
      </c>
      <c r="AG42" s="644">
        <f t="shared" si="29"/>
        <v>89919593.219999999</v>
      </c>
      <c r="AH42" s="271">
        <f t="shared" si="30"/>
        <v>0</v>
      </c>
      <c r="AI42" s="272"/>
      <c r="AJ42" s="273"/>
      <c r="AK42" s="274" t="e">
        <f>SUM(AD42-AE42-#REF!-#REF!)</f>
        <v>#REF!</v>
      </c>
      <c r="AL42" s="275">
        <f t="shared" si="31"/>
        <v>0.4757650434920635</v>
      </c>
      <c r="AM42" s="175"/>
      <c r="AN42" s="277" t="s">
        <v>376</v>
      </c>
      <c r="AO42" s="276" t="s">
        <v>599</v>
      </c>
      <c r="AP42" s="77"/>
      <c r="AQ42" s="179"/>
      <c r="AR42" s="125"/>
      <c r="AT42" s="125"/>
      <c r="AU42" s="126"/>
    </row>
    <row r="43" spans="1:47" s="28" customFormat="1" ht="84" customHeight="1" x14ac:dyDescent="0.35">
      <c r="A43" s="27" t="s">
        <v>100</v>
      </c>
      <c r="B43" s="38">
        <v>2</v>
      </c>
      <c r="C43" s="38">
        <v>0</v>
      </c>
      <c r="D43" s="38">
        <v>4</v>
      </c>
      <c r="E43" s="38">
        <v>5</v>
      </c>
      <c r="F43" s="38">
        <v>10</v>
      </c>
      <c r="G43" s="38" t="s">
        <v>147</v>
      </c>
      <c r="H43" s="25">
        <v>10</v>
      </c>
      <c r="I43" s="25" t="s">
        <v>88</v>
      </c>
      <c r="J43" s="42" t="s">
        <v>117</v>
      </c>
      <c r="K43" s="590">
        <v>152736982</v>
      </c>
      <c r="L43" s="590">
        <v>159603012</v>
      </c>
      <c r="M43" s="590">
        <v>139184373</v>
      </c>
      <c r="N43" s="635">
        <v>197000000</v>
      </c>
      <c r="O43" s="45"/>
      <c r="P43" s="45"/>
      <c r="Q43" s="45">
        <f t="shared" si="24"/>
        <v>197000000</v>
      </c>
      <c r="R43" s="268"/>
      <c r="S43" s="268"/>
      <c r="T43" s="268"/>
      <c r="U43" s="268">
        <f t="shared" si="25"/>
        <v>0</v>
      </c>
      <c r="V43" s="63"/>
      <c r="W43" s="63">
        <v>112737130.06999999</v>
      </c>
      <c r="X43" s="258">
        <f t="shared" si="26"/>
        <v>0</v>
      </c>
      <c r="Y43" s="270"/>
      <c r="Z43" s="63">
        <f t="shared" si="27"/>
        <v>84262869.930000007</v>
      </c>
      <c r="AA43" s="731">
        <v>9000000</v>
      </c>
      <c r="AB43" s="63"/>
      <c r="AC43" s="63">
        <f t="shared" si="0"/>
        <v>9000000</v>
      </c>
      <c r="AD43" s="270">
        <f t="shared" si="4"/>
        <v>84262869.930000007</v>
      </c>
      <c r="AE43" s="270">
        <v>9000000</v>
      </c>
      <c r="AF43" s="270">
        <f t="shared" si="28"/>
        <v>75262869.930000007</v>
      </c>
      <c r="AG43" s="644">
        <f t="shared" si="29"/>
        <v>112737130.06999999</v>
      </c>
      <c r="AH43" s="271">
        <f t="shared" si="30"/>
        <v>0</v>
      </c>
      <c r="AI43" s="272"/>
      <c r="AJ43" s="273"/>
      <c r="AK43" s="274" t="e">
        <f>SUM(AD43-AE43-#REF!-#REF!)</f>
        <v>#REF!</v>
      </c>
      <c r="AL43" s="275">
        <f t="shared" si="31"/>
        <v>0.57226969578680198</v>
      </c>
      <c r="AM43" s="175"/>
      <c r="AN43" s="262"/>
      <c r="AO43" s="276" t="s">
        <v>1221</v>
      </c>
      <c r="AP43" s="77"/>
      <c r="AQ43" s="179"/>
      <c r="AR43" s="125"/>
      <c r="AU43" s="126"/>
    </row>
    <row r="44" spans="1:47" s="28" customFormat="1" ht="36" x14ac:dyDescent="0.35">
      <c r="A44" s="27" t="s">
        <v>100</v>
      </c>
      <c r="B44" s="38">
        <v>2</v>
      </c>
      <c r="C44" s="38">
        <v>0</v>
      </c>
      <c r="D44" s="38">
        <v>4</v>
      </c>
      <c r="E44" s="38">
        <v>5</v>
      </c>
      <c r="F44" s="38">
        <v>12</v>
      </c>
      <c r="G44" s="38" t="s">
        <v>147</v>
      </c>
      <c r="H44" s="25">
        <v>10</v>
      </c>
      <c r="I44" s="25" t="s">
        <v>88</v>
      </c>
      <c r="J44" s="42" t="s">
        <v>118</v>
      </c>
      <c r="K44" s="590">
        <v>1449028</v>
      </c>
      <c r="L44" s="590">
        <v>54500</v>
      </c>
      <c r="M44" s="590">
        <v>3845289</v>
      </c>
      <c r="N44" s="45">
        <v>2000000</v>
      </c>
      <c r="O44" s="45"/>
      <c r="P44" s="45"/>
      <c r="Q44" s="45">
        <f t="shared" si="24"/>
        <v>2000000</v>
      </c>
      <c r="R44" s="268">
        <v>1500000</v>
      </c>
      <c r="S44" s="268">
        <v>500000</v>
      </c>
      <c r="T44" s="308"/>
      <c r="U44" s="268">
        <f t="shared" si="25"/>
        <v>500000</v>
      </c>
      <c r="V44" s="63"/>
      <c r="W44" s="63"/>
      <c r="X44" s="258">
        <f t="shared" si="26"/>
        <v>500000</v>
      </c>
      <c r="Y44" s="270"/>
      <c r="Z44" s="63">
        <f t="shared" si="27"/>
        <v>0</v>
      </c>
      <c r="AA44" s="63"/>
      <c r="AB44" s="63"/>
      <c r="AC44" s="63">
        <f t="shared" si="0"/>
        <v>0</v>
      </c>
      <c r="AD44" s="270">
        <f t="shared" si="4"/>
        <v>0</v>
      </c>
      <c r="AE44" s="270"/>
      <c r="AF44" s="270">
        <f t="shared" si="28"/>
        <v>0</v>
      </c>
      <c r="AG44" s="644">
        <f t="shared" si="29"/>
        <v>1500000</v>
      </c>
      <c r="AH44" s="271"/>
      <c r="AI44" s="272"/>
      <c r="AJ44" s="273"/>
      <c r="AK44" s="274" t="e">
        <f>SUM(AD44-AE44-#REF!-#REF!)</f>
        <v>#REF!</v>
      </c>
      <c r="AL44" s="275">
        <f t="shared" si="31"/>
        <v>0.75</v>
      </c>
      <c r="AM44" s="175"/>
      <c r="AN44" s="262"/>
      <c r="AO44" s="276"/>
      <c r="AP44" s="77"/>
      <c r="AQ44" s="179"/>
      <c r="AR44" s="125"/>
      <c r="AU44" s="126"/>
    </row>
    <row r="45" spans="1:47" s="34" customFormat="1" ht="48" customHeight="1" x14ac:dyDescent="0.35">
      <c r="A45" s="31"/>
      <c r="B45" s="32"/>
      <c r="C45" s="32"/>
      <c r="D45" s="32"/>
      <c r="E45" s="32"/>
      <c r="F45" s="32"/>
      <c r="G45" s="32"/>
      <c r="H45" s="33"/>
      <c r="I45" s="33"/>
      <c r="J45" s="35" t="s">
        <v>134</v>
      </c>
      <c r="K45" s="279">
        <f t="shared" ref="K45:W45" si="32">SUM(K38:K44)</f>
        <v>371899712.80000001</v>
      </c>
      <c r="L45" s="279">
        <f t="shared" si="32"/>
        <v>610640625.5</v>
      </c>
      <c r="M45" s="279">
        <f t="shared" si="32"/>
        <v>455267749</v>
      </c>
      <c r="N45" s="280">
        <f>SUM(N37:N44)</f>
        <v>694220000</v>
      </c>
      <c r="O45" s="280">
        <f>SUM(O37:O44)</f>
        <v>0</v>
      </c>
      <c r="P45" s="280">
        <f>SUM(P37:P44)</f>
        <v>42055527</v>
      </c>
      <c r="Q45" s="280">
        <f>SUM(Q37:Q44)</f>
        <v>652164473</v>
      </c>
      <c r="R45" s="49">
        <f>SUM(R38:R44)</f>
        <v>1500000</v>
      </c>
      <c r="S45" s="49">
        <f t="shared" si="32"/>
        <v>8800000</v>
      </c>
      <c r="T45" s="49">
        <f t="shared" si="32"/>
        <v>417600</v>
      </c>
      <c r="U45" s="49">
        <f t="shared" si="32"/>
        <v>8382400</v>
      </c>
      <c r="V45" s="39">
        <f t="shared" si="32"/>
        <v>0</v>
      </c>
      <c r="W45" s="39">
        <f t="shared" si="32"/>
        <v>321552198.28999996</v>
      </c>
      <c r="X45" s="258">
        <f>SUM(X37:X44)</f>
        <v>8382400</v>
      </c>
      <c r="Y45" s="284">
        <f>SUM(Y37:Y44)</f>
        <v>0</v>
      </c>
      <c r="Z45" s="39">
        <f>SUM(Z38:Z44)</f>
        <v>320312274.71000004</v>
      </c>
      <c r="AA45" s="39">
        <f>SUM(AA38:AA44)</f>
        <v>119500000</v>
      </c>
      <c r="AB45" s="39">
        <f>SUM(AB38:AB44)</f>
        <v>6064473</v>
      </c>
      <c r="AC45" s="39">
        <f t="shared" si="0"/>
        <v>113435527</v>
      </c>
      <c r="AD45" s="284">
        <f>SUM(AD37:AD44)</f>
        <v>314247801.71000004</v>
      </c>
      <c r="AE45" s="284">
        <f>SUM(AE37:AE44)</f>
        <v>113200000</v>
      </c>
      <c r="AF45" s="284">
        <f>SUM(AF37:AF44)</f>
        <v>201047801.71000001</v>
      </c>
      <c r="AG45" s="282"/>
      <c r="AH45" s="294">
        <f>SUM(AB45/Z45)</f>
        <v>1.8933002194469663E-2</v>
      </c>
      <c r="AI45" s="284"/>
      <c r="AJ45" s="326"/>
      <c r="AK45" s="285" t="e">
        <f>SUM(AD45-AE45-#REF!-#REF!)</f>
        <v>#REF!</v>
      </c>
      <c r="AL45" s="286">
        <f>SUM(Q45-(AD45+X45))/Q45</f>
        <v>0.50529319662894301</v>
      </c>
      <c r="AM45" s="208"/>
      <c r="AN45" s="287"/>
      <c r="AO45" s="288"/>
      <c r="AP45" s="289"/>
      <c r="AQ45" s="289"/>
      <c r="AR45" s="290"/>
      <c r="AU45" s="291"/>
    </row>
    <row r="46" spans="1:47" s="28" customFormat="1" ht="26.25" customHeight="1" x14ac:dyDescent="0.35">
      <c r="A46" s="27"/>
      <c r="B46" s="793" t="s">
        <v>124</v>
      </c>
      <c r="C46" s="793"/>
      <c r="D46" s="793"/>
      <c r="E46" s="793"/>
      <c r="F46" s="793"/>
      <c r="G46" s="793"/>
      <c r="H46" s="793"/>
      <c r="I46" s="793"/>
      <c r="J46" s="793"/>
      <c r="K46" s="25"/>
      <c r="L46" s="25"/>
      <c r="M46" s="25"/>
      <c r="N46" s="50"/>
      <c r="O46" s="50"/>
      <c r="P46" s="50"/>
      <c r="Q46" s="50"/>
      <c r="R46" s="50"/>
      <c r="S46" s="50"/>
      <c r="T46" s="50"/>
      <c r="U46" s="50"/>
      <c r="V46" s="64"/>
      <c r="W46" s="64"/>
      <c r="X46" s="296"/>
      <c r="Y46" s="64"/>
      <c r="Z46" s="64"/>
      <c r="AA46" s="64"/>
      <c r="AB46" s="64"/>
      <c r="AC46" s="64"/>
      <c r="AD46" s="64"/>
      <c r="AE46" s="64"/>
      <c r="AF46" s="64"/>
      <c r="AG46" s="645"/>
      <c r="AH46" s="271"/>
      <c r="AI46" s="316"/>
      <c r="AJ46" s="273"/>
      <c r="AK46" s="274" t="e">
        <f>SUM(AD46-AE46-#REF!-#REF!)</f>
        <v>#REF!</v>
      </c>
      <c r="AL46" s="317"/>
      <c r="AM46" s="230"/>
      <c r="AN46" s="262"/>
      <c r="AO46" s="263"/>
      <c r="AP46" s="77"/>
      <c r="AQ46" s="77"/>
      <c r="AR46" s="125"/>
      <c r="AU46" s="126"/>
    </row>
    <row r="47" spans="1:47" s="28" customFormat="1" ht="69.75" x14ac:dyDescent="0.35">
      <c r="A47" s="27" t="s">
        <v>100</v>
      </c>
      <c r="B47" s="38">
        <v>2</v>
      </c>
      <c r="C47" s="38">
        <v>0</v>
      </c>
      <c r="D47" s="38">
        <v>4</v>
      </c>
      <c r="E47" s="38">
        <v>6</v>
      </c>
      <c r="F47" s="38">
        <v>2</v>
      </c>
      <c r="G47" s="38" t="s">
        <v>147</v>
      </c>
      <c r="H47" s="25">
        <v>10</v>
      </c>
      <c r="I47" s="25" t="s">
        <v>88</v>
      </c>
      <c r="J47" s="36" t="s">
        <v>119</v>
      </c>
      <c r="K47" s="590">
        <v>56623255</v>
      </c>
      <c r="L47" s="590">
        <v>80264238</v>
      </c>
      <c r="M47" s="590">
        <v>102393891</v>
      </c>
      <c r="N47" s="635">
        <v>113000000</v>
      </c>
      <c r="O47" s="45"/>
      <c r="P47" s="45"/>
      <c r="Q47" s="45">
        <f>SUM(N47+O47-P47)</f>
        <v>113000000</v>
      </c>
      <c r="R47" s="268"/>
      <c r="S47" s="268">
        <v>1000000</v>
      </c>
      <c r="T47" s="308"/>
      <c r="U47" s="268">
        <f>SUM(S47-T47)</f>
        <v>1000000</v>
      </c>
      <c r="V47" s="63"/>
      <c r="W47" s="63">
        <v>68877215</v>
      </c>
      <c r="X47" s="258">
        <f>SUM(U47)</f>
        <v>1000000</v>
      </c>
      <c r="Y47" s="270"/>
      <c r="Z47" s="63">
        <f>SUM(Q47-R47-T47-V47-W47-X47-Y47)</f>
        <v>43122785</v>
      </c>
      <c r="AA47" s="731">
        <v>10500000</v>
      </c>
      <c r="AB47" s="63"/>
      <c r="AC47" s="63">
        <f t="shared" si="0"/>
        <v>10500000</v>
      </c>
      <c r="AD47" s="270">
        <f t="shared" si="4"/>
        <v>43122785</v>
      </c>
      <c r="AE47" s="270">
        <v>10500000</v>
      </c>
      <c r="AF47" s="270">
        <f>SUM(AD47-AE47)</f>
        <v>32622785</v>
      </c>
      <c r="AG47" s="644">
        <f>SUM(R47+T47+V47+Y47+W47+AB47)</f>
        <v>68877215</v>
      </c>
      <c r="AH47" s="271">
        <f>AB47/(AB47+AE47+AF47)</f>
        <v>0</v>
      </c>
      <c r="AI47" s="272"/>
      <c r="AJ47" s="273"/>
      <c r="AK47" s="274" t="e">
        <f>SUM(AD47-AE47-#REF!-#REF!)</f>
        <v>#REF!</v>
      </c>
      <c r="AL47" s="275">
        <f>SUM(Q47-(AD47+X47))/Q47</f>
        <v>0.60953287610619467</v>
      </c>
      <c r="AM47" s="175"/>
      <c r="AN47" s="262"/>
      <c r="AO47" s="276" t="s">
        <v>661</v>
      </c>
      <c r="AP47" s="77"/>
      <c r="AQ47" s="179"/>
      <c r="AR47" s="125"/>
      <c r="AU47" s="126"/>
    </row>
    <row r="48" spans="1:47" s="28" customFormat="1" ht="95.25" customHeight="1" x14ac:dyDescent="0.35">
      <c r="A48" s="27" t="s">
        <v>100</v>
      </c>
      <c r="B48" s="38">
        <v>2</v>
      </c>
      <c r="C48" s="38">
        <v>0</v>
      </c>
      <c r="D48" s="38">
        <v>4</v>
      </c>
      <c r="E48" s="38">
        <v>6</v>
      </c>
      <c r="F48" s="38">
        <v>5</v>
      </c>
      <c r="G48" s="38" t="s">
        <v>147</v>
      </c>
      <c r="H48" s="25">
        <v>10</v>
      </c>
      <c r="I48" s="25" t="s">
        <v>88</v>
      </c>
      <c r="J48" s="42" t="s">
        <v>120</v>
      </c>
      <c r="K48" s="590">
        <v>16573350</v>
      </c>
      <c r="L48" s="590">
        <v>133954639</v>
      </c>
      <c r="M48" s="590">
        <v>497266364</v>
      </c>
      <c r="N48" s="635">
        <v>980000000</v>
      </c>
      <c r="O48" s="45"/>
      <c r="P48" s="192">
        <f>386000+205644070</f>
        <v>206030070</v>
      </c>
      <c r="Q48" s="45">
        <f>SUM(N48+O48-P48)</f>
        <v>773969930</v>
      </c>
      <c r="R48" s="268"/>
      <c r="S48" s="268"/>
      <c r="T48" s="268"/>
      <c r="U48" s="268">
        <f>SUM(S48-T48)</f>
        <v>0</v>
      </c>
      <c r="V48" s="63"/>
      <c r="W48" s="63">
        <f>86009025.43+131297539.29+206748171</f>
        <v>424054735.72000003</v>
      </c>
      <c r="X48" s="258">
        <f>SUM(U48)</f>
        <v>0</v>
      </c>
      <c r="Y48" s="270"/>
      <c r="Z48" s="63">
        <f>SUM(Q48-R48-T48-V48-W48-X48-Y48)</f>
        <v>349915194.27999997</v>
      </c>
      <c r="AA48" s="731">
        <v>79637173</v>
      </c>
      <c r="AB48" s="63"/>
      <c r="AC48" s="63">
        <f t="shared" si="0"/>
        <v>79637173</v>
      </c>
      <c r="AD48" s="270">
        <f t="shared" si="4"/>
        <v>349915194.27999997</v>
      </c>
      <c r="AE48" s="270">
        <v>79637173</v>
      </c>
      <c r="AF48" s="270">
        <f>SUM(AD48-AE48)</f>
        <v>270278021.27999997</v>
      </c>
      <c r="AG48" s="644">
        <f>SUM(R48+T48+V48+Y48+W48+AB48)</f>
        <v>424054735.72000003</v>
      </c>
      <c r="AH48" s="271">
        <f>AB48/(AB48+AE48+AF48)</f>
        <v>0</v>
      </c>
      <c r="AI48" s="272"/>
      <c r="AJ48" s="273"/>
      <c r="AK48" s="274" t="e">
        <f>SUM(AD48-AE48-#REF!-#REF!)</f>
        <v>#REF!</v>
      </c>
      <c r="AL48" s="275">
        <f>SUM(Q48-(AD48+X48))/Q48</f>
        <v>0.54789562137123338</v>
      </c>
      <c r="AM48" s="327"/>
      <c r="AN48" s="262"/>
      <c r="AO48" s="276" t="s">
        <v>1222</v>
      </c>
      <c r="AP48" s="77"/>
      <c r="AQ48" s="179">
        <v>205644070</v>
      </c>
      <c r="AR48" s="125"/>
      <c r="AU48" s="126"/>
    </row>
    <row r="49" spans="1:49" s="28" customFormat="1" ht="36" x14ac:dyDescent="0.35">
      <c r="A49" s="27" t="s">
        <v>100</v>
      </c>
      <c r="B49" s="38">
        <v>2</v>
      </c>
      <c r="C49" s="38">
        <v>0</v>
      </c>
      <c r="D49" s="38">
        <v>4</v>
      </c>
      <c r="E49" s="38">
        <v>6</v>
      </c>
      <c r="F49" s="38">
        <v>7</v>
      </c>
      <c r="G49" s="38" t="s">
        <v>147</v>
      </c>
      <c r="H49" s="25">
        <v>10</v>
      </c>
      <c r="I49" s="25" t="s">
        <v>88</v>
      </c>
      <c r="J49" s="42" t="s">
        <v>121</v>
      </c>
      <c r="K49" s="590">
        <v>2968650</v>
      </c>
      <c r="L49" s="590">
        <v>3042900</v>
      </c>
      <c r="M49" s="590">
        <v>0</v>
      </c>
      <c r="N49" s="635">
        <v>5100000</v>
      </c>
      <c r="O49" s="45"/>
      <c r="P49" s="45"/>
      <c r="Q49" s="45">
        <f>SUM(N49+O49-P49)</f>
        <v>5100000</v>
      </c>
      <c r="R49" s="268"/>
      <c r="S49" s="268">
        <v>2700000</v>
      </c>
      <c r="T49" s="308">
        <v>109000</v>
      </c>
      <c r="U49" s="268">
        <f>SUM(S49-T49)</f>
        <v>2591000</v>
      </c>
      <c r="V49" s="63"/>
      <c r="W49" s="63"/>
      <c r="X49" s="258">
        <f>SUM(U49)</f>
        <v>2591000</v>
      </c>
      <c r="Y49" s="270"/>
      <c r="Z49" s="63">
        <f>SUM(Q49-R49-T49-V49-W49-X49-Y49)</f>
        <v>2400000</v>
      </c>
      <c r="AA49" s="731">
        <v>2400000</v>
      </c>
      <c r="AB49" s="63"/>
      <c r="AC49" s="63">
        <f t="shared" si="0"/>
        <v>2400000</v>
      </c>
      <c r="AD49" s="270">
        <f t="shared" si="4"/>
        <v>2400000</v>
      </c>
      <c r="AE49" s="270">
        <v>2400000</v>
      </c>
      <c r="AF49" s="270">
        <f>SUM(AD49-AE49)</f>
        <v>0</v>
      </c>
      <c r="AG49" s="644">
        <f>SUM(R49+T49+V49+Y49+W49+AB49)</f>
        <v>109000</v>
      </c>
      <c r="AH49" s="271">
        <f>AB49/(AB49+AE49+AF49)</f>
        <v>0</v>
      </c>
      <c r="AI49" s="272"/>
      <c r="AJ49" s="273"/>
      <c r="AK49" s="274" t="e">
        <f>SUM(AD49-AE49-#REF!-#REF!)</f>
        <v>#REF!</v>
      </c>
      <c r="AL49" s="275">
        <f>SUM(Q49-(AD49+X49))/Q49</f>
        <v>2.1372549019607844E-2</v>
      </c>
      <c r="AM49" s="175"/>
      <c r="AN49" s="262"/>
      <c r="AO49" s="276"/>
      <c r="AP49" s="77"/>
      <c r="AQ49" s="179"/>
      <c r="AR49" s="125"/>
      <c r="AU49" s="126"/>
    </row>
    <row r="50" spans="1:49" s="28" customFormat="1" ht="100.5" customHeight="1" x14ac:dyDescent="0.35">
      <c r="A50" s="27" t="s">
        <v>100</v>
      </c>
      <c r="B50" s="38">
        <v>2</v>
      </c>
      <c r="C50" s="38">
        <v>0</v>
      </c>
      <c r="D50" s="38">
        <v>4</v>
      </c>
      <c r="E50" s="38">
        <v>6</v>
      </c>
      <c r="F50" s="38">
        <v>8</v>
      </c>
      <c r="G50" s="38" t="s">
        <v>147</v>
      </c>
      <c r="H50" s="25">
        <v>10</v>
      </c>
      <c r="I50" s="25" t="s">
        <v>88</v>
      </c>
      <c r="J50" s="42" t="s">
        <v>377</v>
      </c>
      <c r="K50" s="590">
        <v>3728944</v>
      </c>
      <c r="L50" s="590">
        <v>4108750</v>
      </c>
      <c r="M50" s="590">
        <f>3344323+1826294</f>
        <v>5170617</v>
      </c>
      <c r="N50" s="635">
        <v>5400000</v>
      </c>
      <c r="O50" s="45">
        <v>386000</v>
      </c>
      <c r="P50" s="45"/>
      <c r="Q50" s="45">
        <f>SUM(N50+O50-P50)</f>
        <v>5786000</v>
      </c>
      <c r="R50" s="268">
        <v>1500000</v>
      </c>
      <c r="S50" s="268"/>
      <c r="T50" s="268"/>
      <c r="U50" s="268">
        <f>SUM(S50-T50)</f>
        <v>0</v>
      </c>
      <c r="V50" s="63"/>
      <c r="W50" s="70"/>
      <c r="X50" s="258">
        <f>SUM(U50)</f>
        <v>0</v>
      </c>
      <c r="Y50" s="270"/>
      <c r="Z50" s="63">
        <f>SUM(Q50-R50-T50-V50-W50-X50-Y50)</f>
        <v>4286000</v>
      </c>
      <c r="AA50" s="731">
        <v>4286000</v>
      </c>
      <c r="AB50" s="63"/>
      <c r="AC50" s="63">
        <f t="shared" si="0"/>
        <v>4286000</v>
      </c>
      <c r="AD50" s="270">
        <f t="shared" si="4"/>
        <v>4286000</v>
      </c>
      <c r="AE50" s="270">
        <v>4286000</v>
      </c>
      <c r="AF50" s="270">
        <f>SUM(AD50-AE50)</f>
        <v>0</v>
      </c>
      <c r="AG50" s="644">
        <f>SUM(R50+T50+V50+Y50+W50+AB50)</f>
        <v>1500000</v>
      </c>
      <c r="AH50" s="271">
        <f>AB50/(AB50+AE50+AF50)</f>
        <v>0</v>
      </c>
      <c r="AI50" s="272"/>
      <c r="AJ50" s="273"/>
      <c r="AK50" s="274" t="e">
        <f>SUM(AD50-AE50-#REF!-#REF!)</f>
        <v>#REF!</v>
      </c>
      <c r="AL50" s="275">
        <f>SUM(Q50-(AD50+X50))/Q50</f>
        <v>0.25924645696508813</v>
      </c>
      <c r="AM50" s="175"/>
      <c r="AN50" s="262"/>
      <c r="AO50" s="276"/>
      <c r="AP50" s="77"/>
      <c r="AQ50" s="179"/>
      <c r="AR50" s="125"/>
      <c r="AU50" s="126"/>
    </row>
    <row r="51" spans="1:49" s="34" customFormat="1" ht="49.5" customHeight="1" x14ac:dyDescent="0.35">
      <c r="A51" s="31"/>
      <c r="B51" s="32"/>
      <c r="C51" s="32"/>
      <c r="D51" s="32"/>
      <c r="E51" s="32"/>
      <c r="F51" s="32"/>
      <c r="G51" s="32"/>
      <c r="H51" s="33"/>
      <c r="I51" s="33"/>
      <c r="J51" s="35" t="s">
        <v>136</v>
      </c>
      <c r="K51" s="279">
        <f>SUM(K47:K50)</f>
        <v>79894199</v>
      </c>
      <c r="L51" s="279">
        <f>SUM(L47:L50)</f>
        <v>221370527</v>
      </c>
      <c r="M51" s="279">
        <f>SUM(M47:M50)</f>
        <v>604830872</v>
      </c>
      <c r="N51" s="280">
        <f>SUM(N46:N50)</f>
        <v>1103500000</v>
      </c>
      <c r="O51" s="280">
        <f>SUM(O46:O50)</f>
        <v>386000</v>
      </c>
      <c r="P51" s="280">
        <f>SUM(P46:P50)</f>
        <v>206030070</v>
      </c>
      <c r="Q51" s="280">
        <f>SUM(Q46:Q50)</f>
        <v>897855930</v>
      </c>
      <c r="R51" s="49">
        <f>SUM(R47:R50)</f>
        <v>1500000</v>
      </c>
      <c r="S51" s="49">
        <f>SUM(S47:S50)</f>
        <v>3700000</v>
      </c>
      <c r="T51" s="49">
        <f t="shared" ref="T51:AA51" si="33">SUM(T47:T50)</f>
        <v>109000</v>
      </c>
      <c r="U51" s="49">
        <f t="shared" si="33"/>
        <v>3591000</v>
      </c>
      <c r="V51" s="39">
        <f t="shared" si="33"/>
        <v>0</v>
      </c>
      <c r="W51" s="39">
        <f t="shared" si="33"/>
        <v>492931950.72000003</v>
      </c>
      <c r="X51" s="258">
        <f>SUM(X46:X50)</f>
        <v>3591000</v>
      </c>
      <c r="Y51" s="284">
        <f>SUM(Y46:Y50)</f>
        <v>0</v>
      </c>
      <c r="Z51" s="39">
        <f t="shared" si="33"/>
        <v>399723979.27999997</v>
      </c>
      <c r="AA51" s="39">
        <f t="shared" si="33"/>
        <v>96823173</v>
      </c>
      <c r="AB51" s="39">
        <f>SUM(AB47:AB50)</f>
        <v>0</v>
      </c>
      <c r="AC51" s="39">
        <f t="shared" si="0"/>
        <v>96823173</v>
      </c>
      <c r="AD51" s="284">
        <f>SUM(AD46:AD50)</f>
        <v>399723979.27999997</v>
      </c>
      <c r="AE51" s="284">
        <f>SUM(AE46:AE50)</f>
        <v>96823173</v>
      </c>
      <c r="AF51" s="284">
        <f>SUM(AF46:AF50)</f>
        <v>302900806.27999997</v>
      </c>
      <c r="AG51" s="282"/>
      <c r="AH51" s="294">
        <f>SUM(AB51/Z51)</f>
        <v>0</v>
      </c>
      <c r="AI51" s="284"/>
      <c r="AJ51" s="39"/>
      <c r="AK51" s="285" t="e">
        <f>SUM(AD51-AE51-#REF!-#REF!)</f>
        <v>#REF!</v>
      </c>
      <c r="AL51" s="286">
        <f>SUM(Q51-(AD51+X51))/Q51</f>
        <v>0.55080212113763061</v>
      </c>
      <c r="AM51" s="208"/>
      <c r="AN51" s="287"/>
      <c r="AO51" s="288"/>
      <c r="AP51" s="289"/>
      <c r="AQ51" s="289"/>
      <c r="AR51" s="290"/>
      <c r="AU51" s="291"/>
    </row>
    <row r="52" spans="1:49" s="28" customFormat="1" ht="33" customHeight="1" x14ac:dyDescent="0.35">
      <c r="A52" s="27"/>
      <c r="B52" s="793" t="s">
        <v>122</v>
      </c>
      <c r="C52" s="793"/>
      <c r="D52" s="793"/>
      <c r="E52" s="793"/>
      <c r="F52" s="793"/>
      <c r="G52" s="793"/>
      <c r="H52" s="793"/>
      <c r="I52" s="793"/>
      <c r="J52" s="793" t="s">
        <v>122</v>
      </c>
      <c r="K52" s="25"/>
      <c r="L52" s="25"/>
      <c r="M52" s="25"/>
      <c r="N52" s="50"/>
      <c r="O52" s="50"/>
      <c r="P52" s="50"/>
      <c r="Q52" s="50"/>
      <c r="R52" s="50"/>
      <c r="S52" s="50"/>
      <c r="T52" s="50"/>
      <c r="U52" s="50"/>
      <c r="V52" s="64"/>
      <c r="W52" s="64"/>
      <c r="X52" s="296"/>
      <c r="Y52" s="64"/>
      <c r="Z52" s="64"/>
      <c r="AA52" s="64"/>
      <c r="AB52" s="64"/>
      <c r="AC52" s="64"/>
      <c r="AD52" s="64"/>
      <c r="AE52" s="64"/>
      <c r="AF52" s="64"/>
      <c r="AG52" s="645"/>
      <c r="AH52" s="271"/>
      <c r="AI52" s="316"/>
      <c r="AJ52" s="273"/>
      <c r="AK52" s="274" t="e">
        <f>SUM(AD52-AE52-#REF!-#REF!)</f>
        <v>#REF!</v>
      </c>
      <c r="AL52" s="317"/>
      <c r="AM52" s="230"/>
      <c r="AN52" s="262"/>
      <c r="AO52" s="263"/>
      <c r="AP52" s="77"/>
      <c r="AQ52" s="77"/>
      <c r="AR52" s="125"/>
      <c r="AU52" s="126"/>
    </row>
    <row r="53" spans="1:49" s="28" customFormat="1" ht="36" x14ac:dyDescent="0.35">
      <c r="A53" s="27" t="s">
        <v>100</v>
      </c>
      <c r="B53" s="38">
        <v>2</v>
      </c>
      <c r="C53" s="38">
        <v>0</v>
      </c>
      <c r="D53" s="38">
        <v>4</v>
      </c>
      <c r="E53" s="38">
        <v>7</v>
      </c>
      <c r="F53" s="38">
        <v>1</v>
      </c>
      <c r="G53" s="38" t="s">
        <v>147</v>
      </c>
      <c r="H53" s="25">
        <v>9</v>
      </c>
      <c r="I53" s="25" t="s">
        <v>88</v>
      </c>
      <c r="J53" s="36" t="s">
        <v>150</v>
      </c>
      <c r="K53" s="590">
        <v>746200</v>
      </c>
      <c r="L53" s="590">
        <v>85400</v>
      </c>
      <c r="M53" s="590"/>
      <c r="N53" s="45"/>
      <c r="O53" s="45"/>
      <c r="P53" s="45"/>
      <c r="Q53" s="45">
        <f>SUM(N53+O53-P53)</f>
        <v>0</v>
      </c>
      <c r="R53" s="268"/>
      <c r="S53" s="268">
        <v>0</v>
      </c>
      <c r="T53" s="268">
        <v>0</v>
      </c>
      <c r="U53" s="268">
        <f>SUM(S53-T53)</f>
        <v>0</v>
      </c>
      <c r="V53" s="63"/>
      <c r="W53" s="63"/>
      <c r="X53" s="258">
        <f>SUM(U53)</f>
        <v>0</v>
      </c>
      <c r="Y53" s="270"/>
      <c r="Z53" s="63">
        <f>SUM(Q53-R53-T53-V53-W53-X53-Y53)</f>
        <v>0</v>
      </c>
      <c r="AA53" s="63"/>
      <c r="AB53" s="63"/>
      <c r="AC53" s="63">
        <f t="shared" si="0"/>
        <v>0</v>
      </c>
      <c r="AD53" s="270">
        <f t="shared" si="4"/>
        <v>0</v>
      </c>
      <c r="AE53" s="270"/>
      <c r="AF53" s="270">
        <f>SUM(AD53-AE53)</f>
        <v>0</v>
      </c>
      <c r="AG53" s="644">
        <f>SUM(R53+T53+V53+Y53+W53+AB53)</f>
        <v>0</v>
      </c>
      <c r="AH53" s="271"/>
      <c r="AI53" s="272"/>
      <c r="AJ53" s="273"/>
      <c r="AK53" s="274" t="e">
        <f>SUM(AD53-AE53-#REF!-#REF!)</f>
        <v>#REF!</v>
      </c>
      <c r="AL53" s="275" t="e">
        <f>SUM(Q53-(AD53+X53))/Q53</f>
        <v>#DIV/0!</v>
      </c>
      <c r="AM53" s="175"/>
      <c r="AN53" s="262"/>
      <c r="AO53" s="276"/>
      <c r="AP53" s="77"/>
      <c r="AQ53" s="77"/>
      <c r="AR53" s="125"/>
      <c r="AU53" s="126"/>
    </row>
    <row r="54" spans="1:49" s="28" customFormat="1" ht="65.25" customHeight="1" x14ac:dyDescent="0.35">
      <c r="A54" s="27" t="s">
        <v>100</v>
      </c>
      <c r="B54" s="38">
        <v>2</v>
      </c>
      <c r="C54" s="38">
        <v>0</v>
      </c>
      <c r="D54" s="38">
        <v>4</v>
      </c>
      <c r="E54" s="38">
        <v>7</v>
      </c>
      <c r="F54" s="38">
        <v>3</v>
      </c>
      <c r="G54" s="38" t="s">
        <v>90</v>
      </c>
      <c r="H54" s="25">
        <v>10</v>
      </c>
      <c r="I54" s="25" t="s">
        <v>88</v>
      </c>
      <c r="J54" s="36" t="s">
        <v>149</v>
      </c>
      <c r="K54" s="590">
        <v>111300</v>
      </c>
      <c r="L54" s="590">
        <v>120960</v>
      </c>
      <c r="M54" s="590"/>
      <c r="N54" s="45"/>
      <c r="O54" s="45"/>
      <c r="P54" s="45"/>
      <c r="Q54" s="45">
        <f>SUM(N54+O54-P54)</f>
        <v>0</v>
      </c>
      <c r="R54" s="268"/>
      <c r="S54" s="268"/>
      <c r="T54" s="268">
        <v>0</v>
      </c>
      <c r="U54" s="268">
        <f>SUM(S54-T54)</f>
        <v>0</v>
      </c>
      <c r="V54" s="63"/>
      <c r="W54" s="63"/>
      <c r="X54" s="258">
        <f>SUM(U54)</f>
        <v>0</v>
      </c>
      <c r="Y54" s="270"/>
      <c r="Z54" s="63">
        <f>SUM(Q54-R54-T54-V54-W54-X54-Y54)</f>
        <v>0</v>
      </c>
      <c r="AA54" s="328"/>
      <c r="AB54" s="328"/>
      <c r="AC54" s="328">
        <f t="shared" si="0"/>
        <v>0</v>
      </c>
      <c r="AD54" s="270">
        <f t="shared" si="4"/>
        <v>0</v>
      </c>
      <c r="AE54" s="270"/>
      <c r="AF54" s="270">
        <f>SUM(AD54-AE54)</f>
        <v>0</v>
      </c>
      <c r="AG54" s="644">
        <f>SUM(R54+T54+V54+Y54+W54+AB54)</f>
        <v>0</v>
      </c>
      <c r="AH54" s="271"/>
      <c r="AI54" s="272"/>
      <c r="AJ54" s="273"/>
      <c r="AK54" s="274" t="e">
        <f>SUM(AD54-AE54-#REF!-#REF!)</f>
        <v>#REF!</v>
      </c>
      <c r="AL54" s="275" t="e">
        <f>SUM(Q54-(AD54+X54))/Q54</f>
        <v>#DIV/0!</v>
      </c>
      <c r="AM54" s="175"/>
      <c r="AN54" s="262"/>
      <c r="AO54" s="276"/>
      <c r="AP54" s="77"/>
      <c r="AQ54" s="77"/>
      <c r="AR54" s="125"/>
      <c r="AU54" s="126"/>
    </row>
    <row r="55" spans="1:49" s="28" customFormat="1" ht="52.5" customHeight="1" x14ac:dyDescent="0.35">
      <c r="A55" s="27" t="s">
        <v>100</v>
      </c>
      <c r="B55" s="38">
        <v>2</v>
      </c>
      <c r="C55" s="38">
        <v>0</v>
      </c>
      <c r="D55" s="38">
        <v>4</v>
      </c>
      <c r="E55" s="38">
        <v>7</v>
      </c>
      <c r="F55" s="38">
        <v>5</v>
      </c>
      <c r="G55" s="38" t="s">
        <v>147</v>
      </c>
      <c r="H55" s="25">
        <v>10</v>
      </c>
      <c r="I55" s="25" t="s">
        <v>88</v>
      </c>
      <c r="J55" s="42" t="s">
        <v>123</v>
      </c>
      <c r="K55" s="590">
        <v>2293000</v>
      </c>
      <c r="L55" s="590">
        <v>1674000</v>
      </c>
      <c r="M55" s="590">
        <v>683998</v>
      </c>
      <c r="N55" s="635">
        <v>6000000</v>
      </c>
      <c r="O55" s="45"/>
      <c r="P55" s="45"/>
      <c r="Q55" s="45">
        <f>SUM(N55+O55-P55)</f>
        <v>6000000</v>
      </c>
      <c r="R55" s="268"/>
      <c r="S55" s="268"/>
      <c r="T55" s="268"/>
      <c r="U55" s="268">
        <f>SUM(S55-T55)</f>
        <v>0</v>
      </c>
      <c r="V55" s="63"/>
      <c r="W55" s="63"/>
      <c r="X55" s="258">
        <f>SUM(U55)</f>
        <v>0</v>
      </c>
      <c r="Y55" s="270"/>
      <c r="Z55" s="63">
        <f>SUM(Q55-R55-T55-V55-W55-X55-Y55)</f>
        <v>6000000</v>
      </c>
      <c r="AA55" s="731">
        <v>6000000</v>
      </c>
      <c r="AB55" s="63"/>
      <c r="AC55" s="63">
        <f t="shared" si="0"/>
        <v>6000000</v>
      </c>
      <c r="AD55" s="270">
        <f t="shared" si="4"/>
        <v>6000000</v>
      </c>
      <c r="AE55" s="270">
        <v>6000000</v>
      </c>
      <c r="AF55" s="270">
        <f>SUM(AD55-AE55)</f>
        <v>0</v>
      </c>
      <c r="AG55" s="644">
        <f>SUM(R55+T55+V55+Y55+W55+AB55)</f>
        <v>0</v>
      </c>
      <c r="AH55" s="271">
        <f>AB55/(AB55+AE55+AF55)</f>
        <v>0</v>
      </c>
      <c r="AI55" s="272"/>
      <c r="AJ55" s="273"/>
      <c r="AK55" s="274" t="e">
        <f>SUM(AD55-AE55-#REF!-#REF!)</f>
        <v>#REF!</v>
      </c>
      <c r="AL55" s="275">
        <f>SUM(Q55-(AD55+X55))/Q55</f>
        <v>0</v>
      </c>
      <c r="AM55" s="175"/>
      <c r="AN55" s="262"/>
      <c r="AO55" s="276"/>
      <c r="AP55" s="77"/>
      <c r="AQ55" s="77"/>
      <c r="AR55" s="125"/>
      <c r="AU55" s="126"/>
    </row>
    <row r="56" spans="1:49" s="28" customFormat="1" ht="73.5" customHeight="1" x14ac:dyDescent="0.35">
      <c r="A56" s="27" t="s">
        <v>100</v>
      </c>
      <c r="B56" s="38">
        <v>2</v>
      </c>
      <c r="C56" s="38">
        <v>0</v>
      </c>
      <c r="D56" s="38">
        <v>4</v>
      </c>
      <c r="E56" s="38">
        <v>7</v>
      </c>
      <c r="F56" s="38">
        <v>6</v>
      </c>
      <c r="G56" s="38" t="s">
        <v>147</v>
      </c>
      <c r="H56" s="25">
        <v>10</v>
      </c>
      <c r="I56" s="25" t="s">
        <v>88</v>
      </c>
      <c r="J56" s="42" t="s">
        <v>212</v>
      </c>
      <c r="K56" s="590">
        <v>5955458</v>
      </c>
      <c r="L56" s="590">
        <v>4360858</v>
      </c>
      <c r="M56" s="590">
        <f>1454877</f>
        <v>1454877</v>
      </c>
      <c r="N56" s="635">
        <v>5500000</v>
      </c>
      <c r="O56" s="45"/>
      <c r="P56" s="45"/>
      <c r="Q56" s="45">
        <f>SUM(N56+O56-P56)</f>
        <v>5500000</v>
      </c>
      <c r="R56" s="49">
        <v>500000</v>
      </c>
      <c r="S56" s="49">
        <v>2500000</v>
      </c>
      <c r="T56" s="308">
        <v>28000</v>
      </c>
      <c r="U56" s="268">
        <f>SUM(S56-T56)</f>
        <v>2472000</v>
      </c>
      <c r="V56" s="63"/>
      <c r="W56" s="63"/>
      <c r="X56" s="258">
        <f>SUM(U56)</f>
        <v>2472000</v>
      </c>
      <c r="Y56" s="270"/>
      <c r="Z56" s="63">
        <f>SUM(Q56-R56-T56-V56-W56-X56-Y56)</f>
        <v>2500000</v>
      </c>
      <c r="AA56" s="731">
        <v>2500000</v>
      </c>
      <c r="AB56" s="63"/>
      <c r="AC56" s="63">
        <f t="shared" si="0"/>
        <v>2500000</v>
      </c>
      <c r="AD56" s="270">
        <f t="shared" si="4"/>
        <v>2500000</v>
      </c>
      <c r="AE56" s="270">
        <v>2500000</v>
      </c>
      <c r="AF56" s="270">
        <f>SUM(AD56-AE56)</f>
        <v>0</v>
      </c>
      <c r="AG56" s="644">
        <f>SUM(R56+T56+V56+Y56+W56+AB56)</f>
        <v>528000</v>
      </c>
      <c r="AH56" s="271">
        <f>AB56/(AB56+AE56+AF56)</f>
        <v>0</v>
      </c>
      <c r="AI56" s="272"/>
      <c r="AJ56" s="273"/>
      <c r="AK56" s="274" t="e">
        <f>SUM(AD56-AE56-#REF!-#REF!)</f>
        <v>#REF!</v>
      </c>
      <c r="AL56" s="275">
        <f>SUM(Q56-(AD56+X56))/Q56</f>
        <v>9.6000000000000002E-2</v>
      </c>
      <c r="AM56" s="175"/>
      <c r="AN56" s="262"/>
      <c r="AO56" s="276"/>
      <c r="AP56" s="77"/>
      <c r="AQ56" s="77"/>
      <c r="AR56" s="125"/>
      <c r="AU56" s="126"/>
    </row>
    <row r="57" spans="1:49" s="34" customFormat="1" ht="36" x14ac:dyDescent="0.35">
      <c r="A57" s="31"/>
      <c r="B57" s="32"/>
      <c r="C57" s="32"/>
      <c r="D57" s="32"/>
      <c r="E57" s="32"/>
      <c r="F57" s="32"/>
      <c r="G57" s="32" t="s">
        <v>147</v>
      </c>
      <c r="H57" s="33"/>
      <c r="I57" s="33"/>
      <c r="J57" s="35" t="s">
        <v>152</v>
      </c>
      <c r="K57" s="279">
        <f>SUM(K53:K56)</f>
        <v>9105958</v>
      </c>
      <c r="L57" s="279">
        <f>SUM(L53:L56)</f>
        <v>6241218</v>
      </c>
      <c r="M57" s="279">
        <f>SUM(M53:M56)</f>
        <v>2138875</v>
      </c>
      <c r="N57" s="280">
        <f>SUM(N53:N56)</f>
        <v>11500000</v>
      </c>
      <c r="O57" s="280">
        <f t="shared" ref="O57:V57" si="34">SUM(O53:O56)</f>
        <v>0</v>
      </c>
      <c r="P57" s="280">
        <f t="shared" si="34"/>
        <v>0</v>
      </c>
      <c r="Q57" s="280">
        <f t="shared" si="34"/>
        <v>11500000</v>
      </c>
      <c r="R57" s="49">
        <f t="shared" si="34"/>
        <v>500000</v>
      </c>
      <c r="S57" s="49">
        <f t="shared" si="34"/>
        <v>2500000</v>
      </c>
      <c r="T57" s="49">
        <f t="shared" si="34"/>
        <v>28000</v>
      </c>
      <c r="U57" s="49">
        <f t="shared" si="34"/>
        <v>2472000</v>
      </c>
      <c r="V57" s="39">
        <f t="shared" si="34"/>
        <v>0</v>
      </c>
      <c r="W57" s="39">
        <f>SUM(W55:W56)</f>
        <v>0</v>
      </c>
      <c r="X57" s="258">
        <f>SUM(X52:X56)</f>
        <v>2472000</v>
      </c>
      <c r="Y57" s="284">
        <f>SUM(Y52:Y56)</f>
        <v>0</v>
      </c>
      <c r="Z57" s="39">
        <f>SUM(Z53:Z56)</f>
        <v>8500000</v>
      </c>
      <c r="AA57" s="39">
        <f>SUM(AA55:AA56)</f>
        <v>8500000</v>
      </c>
      <c r="AB57" s="39">
        <f>SUM(AB52:AB56)</f>
        <v>0</v>
      </c>
      <c r="AC57" s="39">
        <f t="shared" si="0"/>
        <v>8500000</v>
      </c>
      <c r="AD57" s="284">
        <f>SUM(AD52:AD56)</f>
        <v>8500000</v>
      </c>
      <c r="AE57" s="284">
        <f>SUM(AE52:AE56)</f>
        <v>8500000</v>
      </c>
      <c r="AF57" s="284">
        <f>SUM(AF52:AF56)</f>
        <v>0</v>
      </c>
      <c r="AG57" s="282"/>
      <c r="AH57" s="294">
        <f>SUM(AB57/Z57)</f>
        <v>0</v>
      </c>
      <c r="AI57" s="284"/>
      <c r="AJ57" s="39"/>
      <c r="AK57" s="285" t="e">
        <f>SUM(AD57-AE57-#REF!-#REF!)</f>
        <v>#REF!</v>
      </c>
      <c r="AL57" s="286">
        <f>SUM(Q57-(AD57+X57))/Q57</f>
        <v>4.5913043478260869E-2</v>
      </c>
      <c r="AM57" s="208"/>
      <c r="AN57" s="287"/>
      <c r="AO57" s="288"/>
      <c r="AP57" s="289"/>
      <c r="AQ57" s="289"/>
      <c r="AR57" s="290"/>
      <c r="AU57" s="291"/>
    </row>
    <row r="58" spans="1:49" s="28" customFormat="1" ht="40.5" customHeight="1" x14ac:dyDescent="0.4">
      <c r="A58" s="27"/>
      <c r="B58" s="793" t="s">
        <v>378</v>
      </c>
      <c r="C58" s="793"/>
      <c r="D58" s="793"/>
      <c r="E58" s="793"/>
      <c r="F58" s="793"/>
      <c r="G58" s="793"/>
      <c r="H58" s="793"/>
      <c r="I58" s="793"/>
      <c r="J58" s="793"/>
      <c r="K58" s="590"/>
      <c r="L58" s="590"/>
      <c r="M58" s="590"/>
      <c r="N58" s="45"/>
      <c r="O58" s="45"/>
      <c r="P58" s="45"/>
      <c r="Q58" s="45"/>
      <c r="R58" s="268"/>
      <c r="S58" s="268"/>
      <c r="T58" s="268"/>
      <c r="U58" s="268"/>
      <c r="V58" s="63"/>
      <c r="W58" s="63"/>
      <c r="X58" s="258">
        <f>SUM(M58)</f>
        <v>0</v>
      </c>
      <c r="Y58" s="270"/>
      <c r="Z58" s="63"/>
      <c r="AA58" s="63"/>
      <c r="AB58" s="63"/>
      <c r="AC58" s="63">
        <f t="shared" ref="AC58:AC84" si="35">SUM(AA58-AB58)</f>
        <v>0</v>
      </c>
      <c r="AD58" s="270"/>
      <c r="AE58" s="270"/>
      <c r="AF58" s="270"/>
      <c r="AG58" s="644"/>
      <c r="AH58" s="271"/>
      <c r="AI58" s="329"/>
      <c r="AJ58" s="273"/>
      <c r="AK58" s="274"/>
      <c r="AL58" s="317"/>
      <c r="AM58" s="230"/>
      <c r="AN58" s="262"/>
      <c r="AO58" s="263"/>
      <c r="AP58" s="77"/>
      <c r="AQ58" s="77"/>
      <c r="AR58" s="125" t="s">
        <v>379</v>
      </c>
      <c r="AT58" s="330" t="s">
        <v>380</v>
      </c>
      <c r="AU58" s="126" t="s">
        <v>381</v>
      </c>
      <c r="AV58" s="331" t="s">
        <v>382</v>
      </c>
    </row>
    <row r="59" spans="1:49" s="28" customFormat="1" ht="36" x14ac:dyDescent="0.35">
      <c r="A59" s="27" t="s">
        <v>100</v>
      </c>
      <c r="B59" s="38">
        <v>2</v>
      </c>
      <c r="C59" s="38">
        <v>0</v>
      </c>
      <c r="D59" s="38">
        <v>4</v>
      </c>
      <c r="E59" s="38">
        <v>8</v>
      </c>
      <c r="F59" s="38">
        <v>1</v>
      </c>
      <c r="G59" s="38" t="s">
        <v>147</v>
      </c>
      <c r="H59" s="25">
        <v>10</v>
      </c>
      <c r="I59" s="25" t="s">
        <v>88</v>
      </c>
      <c r="J59" s="332" t="s">
        <v>383</v>
      </c>
      <c r="K59" s="590">
        <v>6186430</v>
      </c>
      <c r="L59" s="590">
        <v>6607190</v>
      </c>
      <c r="M59" s="590">
        <v>9941102</v>
      </c>
      <c r="N59" s="635">
        <v>10000000</v>
      </c>
      <c r="O59" s="192"/>
      <c r="P59" s="45"/>
      <c r="Q59" s="45">
        <f>SUM(N59+O59-P59)</f>
        <v>10000000</v>
      </c>
      <c r="R59" s="268"/>
      <c r="S59" s="268"/>
      <c r="T59" s="268"/>
      <c r="U59" s="268"/>
      <c r="V59" s="63">
        <f>SUM(Q59)</f>
        <v>10000000</v>
      </c>
      <c r="W59" s="63"/>
      <c r="X59" s="258">
        <f>SUM(U59)</f>
        <v>0</v>
      </c>
      <c r="Y59" s="270"/>
      <c r="Z59" s="63">
        <f>SUM(Q59-R59-T59-V59-W59-X59-Y59)</f>
        <v>0</v>
      </c>
      <c r="AA59" s="63"/>
      <c r="AB59" s="63"/>
      <c r="AC59" s="63">
        <f t="shared" si="35"/>
        <v>0</v>
      </c>
      <c r="AD59" s="270"/>
      <c r="AE59" s="270"/>
      <c r="AF59" s="270" t="s">
        <v>36</v>
      </c>
      <c r="AG59" s="644">
        <f>76580+8919593.22</f>
        <v>8996173.2200000007</v>
      </c>
      <c r="AH59" s="271" t="e">
        <f>AB59/(AB59+AE59+AF59)</f>
        <v>#VALUE!</v>
      </c>
      <c r="AI59" s="272"/>
      <c r="AJ59" s="273"/>
      <c r="AK59" s="274" t="e">
        <f>SUM(AD59-AE59-#REF!-#REF!)</f>
        <v>#REF!</v>
      </c>
      <c r="AL59" s="275">
        <f>SUM(Q59-(AD59+X59))/Q59</f>
        <v>1</v>
      </c>
      <c r="AM59" s="182"/>
      <c r="AN59" s="333"/>
      <c r="AO59" s="334"/>
      <c r="AP59" s="77"/>
      <c r="AQ59" s="77"/>
      <c r="AR59" s="335">
        <f>SUM(Q59-AG59)</f>
        <v>1003826.7799999993</v>
      </c>
      <c r="AS59" s="336"/>
      <c r="AT59" s="652"/>
      <c r="AU59" s="652"/>
      <c r="AV59" s="337">
        <f>SUM(AR59-AU59)</f>
        <v>1003826.7799999993</v>
      </c>
      <c r="AW59" s="581">
        <f>SUM(AU59--AV59)</f>
        <v>1003826.7799999993</v>
      </c>
    </row>
    <row r="60" spans="1:49" s="28" customFormat="1" ht="53.25" customHeight="1" x14ac:dyDescent="0.35">
      <c r="A60" s="27" t="s">
        <v>100</v>
      </c>
      <c r="B60" s="38">
        <v>2</v>
      </c>
      <c r="C60" s="38">
        <v>0</v>
      </c>
      <c r="D60" s="38">
        <v>4</v>
      </c>
      <c r="E60" s="38">
        <v>8</v>
      </c>
      <c r="F60" s="38">
        <v>2</v>
      </c>
      <c r="G60" s="38" t="s">
        <v>147</v>
      </c>
      <c r="H60" s="25">
        <v>10</v>
      </c>
      <c r="I60" s="25" t="s">
        <v>88</v>
      </c>
      <c r="J60" s="332" t="s">
        <v>384</v>
      </c>
      <c r="K60" s="590">
        <v>93438200</v>
      </c>
      <c r="L60" s="590">
        <v>94312740</v>
      </c>
      <c r="M60" s="590">
        <v>103921690</v>
      </c>
      <c r="N60" s="635">
        <v>127000000</v>
      </c>
      <c r="O60" s="45"/>
      <c r="P60" s="45"/>
      <c r="Q60" s="45">
        <f>SUM(N60+O60-P60)</f>
        <v>127000000</v>
      </c>
      <c r="R60" s="268"/>
      <c r="S60" s="268"/>
      <c r="T60" s="268"/>
      <c r="U60" s="268"/>
      <c r="V60" s="63">
        <f>SUM(Q60)</f>
        <v>127000000</v>
      </c>
      <c r="W60" s="63"/>
      <c r="X60" s="258">
        <f>SUM(U60)</f>
        <v>0</v>
      </c>
      <c r="Y60" s="270"/>
      <c r="Z60" s="63">
        <f>SUM(Q60-R60-T60-V60-W60-X60-Y60)</f>
        <v>0</v>
      </c>
      <c r="AA60" s="63"/>
      <c r="AB60" s="63"/>
      <c r="AC60" s="63">
        <f t="shared" si="35"/>
        <v>0</v>
      </c>
      <c r="AD60" s="270"/>
      <c r="AE60" s="270"/>
      <c r="AF60" s="270" t="s">
        <v>36</v>
      </c>
      <c r="AG60" s="644">
        <v>9170530</v>
      </c>
      <c r="AH60" s="271" t="e">
        <f>AB60/(AB60+AE60+AF60)</f>
        <v>#VALUE!</v>
      </c>
      <c r="AI60" s="272"/>
      <c r="AJ60" s="273"/>
      <c r="AK60" s="274" t="e">
        <f>SUM(AD60-AE60-#REF!-#REF!)</f>
        <v>#REF!</v>
      </c>
      <c r="AL60" s="275">
        <f>SUM(Q60-(AD60+X60))/Q60</f>
        <v>1</v>
      </c>
      <c r="AM60" s="182"/>
      <c r="AN60" s="333"/>
      <c r="AO60" s="334"/>
      <c r="AP60" s="338"/>
      <c r="AQ60" s="77"/>
      <c r="AR60" s="335">
        <f>SUM(Q60-AG60)</f>
        <v>117829470</v>
      </c>
      <c r="AS60" s="336"/>
      <c r="AT60" s="652">
        <v>9500000</v>
      </c>
      <c r="AU60" s="652">
        <f>SUM(AT60*11)</f>
        <v>104500000</v>
      </c>
      <c r="AV60" s="337">
        <f>SUM(AR60-AU60)</f>
        <v>13329470</v>
      </c>
    </row>
    <row r="61" spans="1:49" s="28" customFormat="1" ht="36" x14ac:dyDescent="0.35">
      <c r="A61" s="27" t="s">
        <v>100</v>
      </c>
      <c r="B61" s="38">
        <v>2</v>
      </c>
      <c r="C61" s="38">
        <v>0</v>
      </c>
      <c r="D61" s="38">
        <v>4</v>
      </c>
      <c r="E61" s="38">
        <v>8</v>
      </c>
      <c r="F61" s="38">
        <v>5</v>
      </c>
      <c r="G61" s="38" t="s">
        <v>147</v>
      </c>
      <c r="H61" s="25">
        <v>10</v>
      </c>
      <c r="I61" s="25" t="s">
        <v>88</v>
      </c>
      <c r="J61" s="332" t="s">
        <v>385</v>
      </c>
      <c r="K61" s="590">
        <v>38584988</v>
      </c>
      <c r="L61" s="590">
        <v>37647973</v>
      </c>
      <c r="M61" s="590">
        <v>29818737</v>
      </c>
      <c r="N61" s="635">
        <v>19000000</v>
      </c>
      <c r="O61" s="45"/>
      <c r="P61" s="45"/>
      <c r="Q61" s="45">
        <f>SUM(N61+O61-P61)</f>
        <v>19000000</v>
      </c>
      <c r="R61" s="268"/>
      <c r="S61" s="268"/>
      <c r="T61" s="268"/>
      <c r="U61" s="268"/>
      <c r="V61" s="63">
        <f>SUM(Q61)</f>
        <v>19000000</v>
      </c>
      <c r="W61" s="63"/>
      <c r="X61" s="258">
        <f>SUM(U61)</f>
        <v>0</v>
      </c>
      <c r="Y61" s="270"/>
      <c r="Z61" s="63">
        <f>SUM(Q61-R61-T61-V61-W61-X61-Y61)</f>
        <v>0</v>
      </c>
      <c r="AA61" s="63"/>
      <c r="AB61" s="63"/>
      <c r="AC61" s="63">
        <f t="shared" si="35"/>
        <v>0</v>
      </c>
      <c r="AD61" s="270"/>
      <c r="AE61" s="270"/>
      <c r="AF61" s="270" t="s">
        <v>36</v>
      </c>
      <c r="AG61" s="644"/>
      <c r="AH61" s="271" t="e">
        <f>AB61/(AB61+AE61+AF61)</f>
        <v>#VALUE!</v>
      </c>
      <c r="AI61" s="272"/>
      <c r="AJ61" s="273"/>
      <c r="AK61" s="274" t="e">
        <f>SUM(AD61-AE61-#REF!-#REF!)</f>
        <v>#REF!</v>
      </c>
      <c r="AL61" s="275">
        <f>SUM(Q61-(AD61+X61))/Q61</f>
        <v>1</v>
      </c>
      <c r="AM61" s="182"/>
      <c r="AN61" s="333"/>
      <c r="AO61" s="334"/>
      <c r="AP61" s="338"/>
      <c r="AQ61" s="77"/>
      <c r="AR61" s="335">
        <f>SUM(Q61-AG61)</f>
        <v>19000000</v>
      </c>
      <c r="AS61" s="336"/>
      <c r="AT61" s="652"/>
      <c r="AU61" s="652"/>
      <c r="AV61" s="337">
        <f>SUM(AR61-AU61)</f>
        <v>19000000</v>
      </c>
    </row>
    <row r="62" spans="1:49" s="28" customFormat="1" ht="58.5" customHeight="1" x14ac:dyDescent="0.35">
      <c r="A62" s="27" t="s">
        <v>100</v>
      </c>
      <c r="B62" s="38">
        <v>2</v>
      </c>
      <c r="C62" s="38">
        <v>0</v>
      </c>
      <c r="D62" s="38">
        <v>4</v>
      </c>
      <c r="E62" s="38">
        <v>8</v>
      </c>
      <c r="F62" s="38">
        <v>6</v>
      </c>
      <c r="G62" s="38"/>
      <c r="H62" s="25">
        <v>10</v>
      </c>
      <c r="I62" s="25" t="s">
        <v>88</v>
      </c>
      <c r="J62" s="332" t="s">
        <v>386</v>
      </c>
      <c r="K62" s="590">
        <v>122363650</v>
      </c>
      <c r="L62" s="590">
        <v>119445871</v>
      </c>
      <c r="M62" s="590">
        <v>113763193</v>
      </c>
      <c r="N62" s="635">
        <v>115000000</v>
      </c>
      <c r="O62" s="45"/>
      <c r="P62" s="192"/>
      <c r="Q62" s="45">
        <f>SUM(N62+O62-P62)</f>
        <v>115000000</v>
      </c>
      <c r="R62" s="268"/>
      <c r="S62" s="268"/>
      <c r="T62" s="268"/>
      <c r="U62" s="268"/>
      <c r="V62" s="63">
        <f>SUM(Q62)</f>
        <v>115000000</v>
      </c>
      <c r="W62" s="63"/>
      <c r="X62" s="258">
        <f>SUM(U62)</f>
        <v>0</v>
      </c>
      <c r="Y62" s="270"/>
      <c r="Z62" s="63">
        <f>SUM(Q62-R62-T62-V62-W62-X62-Y62)</f>
        <v>0</v>
      </c>
      <c r="AA62" s="63"/>
      <c r="AB62" s="63"/>
      <c r="AC62" s="63">
        <f t="shared" si="35"/>
        <v>0</v>
      </c>
      <c r="AD62" s="270"/>
      <c r="AE62" s="270"/>
      <c r="AF62" s="270" t="s">
        <v>36</v>
      </c>
      <c r="AG62" s="644">
        <v>11261394</v>
      </c>
      <c r="AH62" s="271" t="e">
        <f>AB62/(AB62+AE62+AF62)</f>
        <v>#VALUE!</v>
      </c>
      <c r="AI62" s="272"/>
      <c r="AJ62" s="273"/>
      <c r="AK62" s="274" t="e">
        <f>SUM(AD62-AE62-#REF!-#REF!)</f>
        <v>#REF!</v>
      </c>
      <c r="AL62" s="275">
        <f>SUM(Q62-(AD62+X62))/Q62</f>
        <v>1</v>
      </c>
      <c r="AM62" s="182"/>
      <c r="AN62" s="333"/>
      <c r="AO62" s="334"/>
      <c r="AP62" s="77"/>
      <c r="AQ62" s="77"/>
      <c r="AR62" s="335">
        <f>SUM(Q62-AG62)</f>
        <v>103738606</v>
      </c>
      <c r="AS62" s="336"/>
      <c r="AT62" s="652">
        <f>SUM(AG62/9)</f>
        <v>1251266</v>
      </c>
      <c r="AU62" s="652"/>
      <c r="AV62" s="337">
        <f>SUM(AR62-AU62)</f>
        <v>103738606</v>
      </c>
    </row>
    <row r="63" spans="1:49" s="28" customFormat="1" ht="26.25" x14ac:dyDescent="0.35">
      <c r="A63" s="27"/>
      <c r="B63" s="32"/>
      <c r="C63" s="32"/>
      <c r="D63" s="32"/>
      <c r="E63" s="32"/>
      <c r="F63" s="32"/>
      <c r="G63" s="32"/>
      <c r="H63" s="33"/>
      <c r="I63" s="33"/>
      <c r="J63" s="35" t="s">
        <v>387</v>
      </c>
      <c r="K63" s="279"/>
      <c r="L63" s="279"/>
      <c r="M63" s="279"/>
      <c r="N63" s="280">
        <f>SUM(N59:N62)</f>
        <v>271000000</v>
      </c>
      <c r="O63" s="280">
        <f>SUM(O59:O62)</f>
        <v>0</v>
      </c>
      <c r="P63" s="280">
        <f>SUM(P59:P62)</f>
        <v>0</v>
      </c>
      <c r="Q63" s="280">
        <f>SUM(Q59:Q62)</f>
        <v>271000000</v>
      </c>
      <c r="R63" s="49"/>
      <c r="S63" s="49"/>
      <c r="T63" s="49"/>
      <c r="U63" s="49"/>
      <c r="V63" s="39">
        <f>SUM(V59:V62)</f>
        <v>271000000</v>
      </c>
      <c r="W63" s="39">
        <f t="shared" ref="W63:AE63" si="36">SUM(W59:W62)</f>
        <v>0</v>
      </c>
      <c r="X63" s="339">
        <f t="shared" si="36"/>
        <v>0</v>
      </c>
      <c r="Y63" s="39">
        <f t="shared" si="36"/>
        <v>0</v>
      </c>
      <c r="Z63" s="39">
        <f t="shared" si="36"/>
        <v>0</v>
      </c>
      <c r="AA63" s="39">
        <f t="shared" si="36"/>
        <v>0</v>
      </c>
      <c r="AB63" s="39">
        <f t="shared" si="36"/>
        <v>0</v>
      </c>
      <c r="AC63" s="39">
        <f t="shared" si="36"/>
        <v>0</v>
      </c>
      <c r="AD63" s="39">
        <f t="shared" si="36"/>
        <v>0</v>
      </c>
      <c r="AE63" s="39">
        <f t="shared" si="36"/>
        <v>0</v>
      </c>
      <c r="AF63" s="284"/>
      <c r="AG63" s="282"/>
      <c r="AH63" s="294"/>
      <c r="AI63" s="284"/>
      <c r="AJ63" s="39"/>
      <c r="AK63" s="285"/>
      <c r="AL63" s="286">
        <f>SUM(Q63-(AD63+X63))/Q63</f>
        <v>1</v>
      </c>
      <c r="AM63" s="340"/>
      <c r="AN63" s="341">
        <f>SUM(AN59:AN62)</f>
        <v>0</v>
      </c>
      <c r="AO63" s="288"/>
      <c r="AP63" s="289"/>
      <c r="AQ63" s="289"/>
      <c r="AR63" s="342">
        <f>SUM(AR59:AR62)</f>
        <v>241571902.78</v>
      </c>
      <c r="AS63" s="343"/>
      <c r="AT63" s="344"/>
      <c r="AU63" s="344">
        <f>SUM(AU59:AU62)</f>
        <v>104500000</v>
      </c>
      <c r="AV63" s="345">
        <f>SUM(AR63-AU63)</f>
        <v>137071902.78</v>
      </c>
    </row>
    <row r="64" spans="1:49" s="28" customFormat="1" ht="36" customHeight="1" x14ac:dyDescent="0.35">
      <c r="A64" s="27"/>
      <c r="B64" s="793" t="s">
        <v>388</v>
      </c>
      <c r="C64" s="793"/>
      <c r="D64" s="793"/>
      <c r="E64" s="793"/>
      <c r="F64" s="793"/>
      <c r="G64" s="793"/>
      <c r="H64" s="793"/>
      <c r="I64" s="793"/>
      <c r="J64" s="793"/>
      <c r="K64" s="25"/>
      <c r="L64" s="25"/>
      <c r="M64" s="25"/>
      <c r="N64" s="50"/>
      <c r="O64" s="50"/>
      <c r="P64" s="50"/>
      <c r="Q64" s="50"/>
      <c r="R64" s="50"/>
      <c r="S64" s="50"/>
      <c r="T64" s="50"/>
      <c r="U64" s="50"/>
      <c r="V64" s="64"/>
      <c r="W64" s="64"/>
      <c r="X64" s="296"/>
      <c r="Y64" s="64"/>
      <c r="Z64" s="64"/>
      <c r="AA64" s="64"/>
      <c r="AB64" s="64"/>
      <c r="AC64" s="64"/>
      <c r="AD64" s="64"/>
      <c r="AE64" s="64"/>
      <c r="AF64" s="64"/>
      <c r="AG64" s="645"/>
      <c r="AH64" s="271"/>
      <c r="AI64" s="316"/>
      <c r="AJ64" s="273"/>
      <c r="AK64" s="274" t="e">
        <f>SUM(AD64-AE64-#REF!-#REF!)</f>
        <v>#REF!</v>
      </c>
      <c r="AL64" s="317"/>
      <c r="AM64" s="230"/>
      <c r="AN64" s="262"/>
      <c r="AO64" s="263"/>
      <c r="AP64" s="77"/>
      <c r="AQ64" s="77"/>
      <c r="AR64" s="346"/>
      <c r="AS64" s="347"/>
      <c r="AT64" s="348"/>
      <c r="AU64" s="349"/>
      <c r="AV64" s="350">
        <f>SUM(AV59:AV62)</f>
        <v>137071902.78</v>
      </c>
    </row>
    <row r="65" spans="1:47" s="28" customFormat="1" ht="36" x14ac:dyDescent="0.35">
      <c r="A65" s="27" t="s">
        <v>100</v>
      </c>
      <c r="B65" s="38">
        <v>2</v>
      </c>
      <c r="C65" s="38">
        <v>0</v>
      </c>
      <c r="D65" s="38">
        <v>4</v>
      </c>
      <c r="E65" s="38">
        <v>9</v>
      </c>
      <c r="F65" s="38">
        <v>4</v>
      </c>
      <c r="G65" s="38" t="s">
        <v>147</v>
      </c>
      <c r="H65" s="25">
        <v>10</v>
      </c>
      <c r="I65" s="25" t="s">
        <v>88</v>
      </c>
      <c r="J65" s="42" t="s">
        <v>389</v>
      </c>
      <c r="K65" s="590">
        <v>13728734</v>
      </c>
      <c r="L65" s="590">
        <v>10285849</v>
      </c>
      <c r="M65" s="590">
        <v>9005472</v>
      </c>
      <c r="N65" s="45">
        <v>100000</v>
      </c>
      <c r="O65" s="45"/>
      <c r="P65" s="45"/>
      <c r="Q65" s="45">
        <f>SUM(N65+O65-P65)</f>
        <v>100000</v>
      </c>
      <c r="R65" s="45"/>
      <c r="S65" s="45"/>
      <c r="T65" s="45"/>
      <c r="U65" s="45"/>
      <c r="V65" s="63"/>
      <c r="W65" s="63"/>
      <c r="X65" s="258">
        <f>SUM(U65)</f>
        <v>0</v>
      </c>
      <c r="Y65" s="270"/>
      <c r="Z65" s="63">
        <f>SUM(Q65-R65-T65-V65-W65-X65-Y65)</f>
        <v>100000</v>
      </c>
      <c r="AA65" s="736"/>
      <c r="AB65" s="352"/>
      <c r="AC65" s="66">
        <f t="shared" si="35"/>
        <v>0</v>
      </c>
      <c r="AD65" s="270">
        <f>SUM(Z65-AB65)</f>
        <v>100000</v>
      </c>
      <c r="AE65" s="270"/>
      <c r="AF65" s="270">
        <f>SUM(AD65-AE65)</f>
        <v>100000</v>
      </c>
      <c r="AG65" s="644">
        <f>SUM(R65+T65+V65+Y65+W65+AB65)</f>
        <v>0</v>
      </c>
      <c r="AH65" s="271">
        <f>AB65/(AB65+AE65+AF65)</f>
        <v>0</v>
      </c>
      <c r="AI65" s="272"/>
      <c r="AJ65" s="273"/>
      <c r="AK65" s="274" t="e">
        <f>SUM(AD65-AE65-#REF!-#REF!)</f>
        <v>#REF!</v>
      </c>
      <c r="AL65" s="275">
        <f t="shared" ref="AL65:AL70" si="37">SUM(Q65-(AD65+X65))/Q65</f>
        <v>0</v>
      </c>
      <c r="AM65" s="175"/>
      <c r="AN65" s="277" t="s">
        <v>148</v>
      </c>
      <c r="AO65" s="276"/>
      <c r="AP65" s="77"/>
      <c r="AQ65" s="77"/>
      <c r="AR65" s="125">
        <v>33543747</v>
      </c>
      <c r="AU65" s="126"/>
    </row>
    <row r="66" spans="1:47" s="28" customFormat="1" ht="36" x14ac:dyDescent="0.35">
      <c r="A66" s="27" t="s">
        <v>100</v>
      </c>
      <c r="B66" s="38">
        <v>2</v>
      </c>
      <c r="C66" s="38">
        <v>0</v>
      </c>
      <c r="D66" s="38">
        <v>4</v>
      </c>
      <c r="E66" s="38">
        <v>9</v>
      </c>
      <c r="F66" s="38">
        <v>7</v>
      </c>
      <c r="G66" s="38" t="s">
        <v>147</v>
      </c>
      <c r="H66" s="25">
        <v>10</v>
      </c>
      <c r="I66" s="25" t="s">
        <v>88</v>
      </c>
      <c r="J66" s="42" t="s">
        <v>390</v>
      </c>
      <c r="K66" s="590">
        <v>12101320</v>
      </c>
      <c r="L66" s="590">
        <v>767811</v>
      </c>
      <c r="M66" s="590">
        <v>8155898</v>
      </c>
      <c r="N66" s="45">
        <v>100000</v>
      </c>
      <c r="O66" s="45"/>
      <c r="P66" s="45"/>
      <c r="Q66" s="45">
        <f>SUM(N66+O66-P66)</f>
        <v>100000</v>
      </c>
      <c r="R66" s="45"/>
      <c r="S66" s="45"/>
      <c r="T66" s="45"/>
      <c r="U66" s="45"/>
      <c r="V66" s="63"/>
      <c r="W66" s="63"/>
      <c r="X66" s="258">
        <f>SUM(U66)</f>
        <v>0</v>
      </c>
      <c r="Y66" s="270"/>
      <c r="Z66" s="63">
        <f>SUM(Q66-R66-T66-V66-W66-X66-Y66)</f>
        <v>100000</v>
      </c>
      <c r="AA66" s="736"/>
      <c r="AB66" s="352"/>
      <c r="AC66" s="66">
        <f t="shared" si="35"/>
        <v>0</v>
      </c>
      <c r="AD66" s="270">
        <f>SUM(Z66-AB66)</f>
        <v>100000</v>
      </c>
      <c r="AE66" s="270"/>
      <c r="AF66" s="270">
        <f>SUM(AD66-AE66)</f>
        <v>100000</v>
      </c>
      <c r="AG66" s="644">
        <f>SUM(R66+T66+V66+Y66+W66+AB66)</f>
        <v>0</v>
      </c>
      <c r="AH66" s="271">
        <f>AB66/(AB66+AE66+AF66)</f>
        <v>0</v>
      </c>
      <c r="AI66" s="272"/>
      <c r="AJ66" s="273"/>
      <c r="AK66" s="274" t="e">
        <f>SUM(AD66-AE66-#REF!-#REF!)</f>
        <v>#REF!</v>
      </c>
      <c r="AL66" s="275">
        <f t="shared" si="37"/>
        <v>0</v>
      </c>
      <c r="AM66" s="175"/>
      <c r="AN66" s="277"/>
      <c r="AO66" s="276"/>
      <c r="AP66" s="77"/>
      <c r="AQ66" s="77"/>
      <c r="AR66" s="125">
        <v>44476845</v>
      </c>
      <c r="AU66" s="126"/>
    </row>
    <row r="67" spans="1:47" s="28" customFormat="1" ht="108" customHeight="1" x14ac:dyDescent="0.35">
      <c r="A67" s="27" t="s">
        <v>100</v>
      </c>
      <c r="B67" s="38">
        <v>2</v>
      </c>
      <c r="C67" s="38">
        <v>0</v>
      </c>
      <c r="D67" s="38">
        <v>4</v>
      </c>
      <c r="E67" s="38">
        <v>9</v>
      </c>
      <c r="F67" s="38">
        <v>8</v>
      </c>
      <c r="G67" s="38" t="s">
        <v>147</v>
      </c>
      <c r="H67" s="25">
        <v>10</v>
      </c>
      <c r="I67" s="25" t="s">
        <v>88</v>
      </c>
      <c r="J67" s="42" t="s">
        <v>391</v>
      </c>
      <c r="K67" s="590">
        <v>44027913</v>
      </c>
      <c r="L67" s="590">
        <v>15481207</v>
      </c>
      <c r="M67" s="590">
        <v>34743449</v>
      </c>
      <c r="N67" s="635">
        <v>14000000</v>
      </c>
      <c r="O67" s="45">
        <v>3000000</v>
      </c>
      <c r="P67" s="45"/>
      <c r="Q67" s="45">
        <f>SUM(N67+O67-P67)</f>
        <v>17000000</v>
      </c>
      <c r="R67" s="46"/>
      <c r="S67" s="45"/>
      <c r="T67" s="45"/>
      <c r="U67" s="45"/>
      <c r="V67" s="63"/>
      <c r="W67" s="63"/>
      <c r="X67" s="258">
        <f>SUM(U67)</f>
        <v>0</v>
      </c>
      <c r="Y67" s="270"/>
      <c r="Z67" s="63">
        <f>SUM(Q67-R67-T67-V67-W67-X67-Y67)</f>
        <v>17000000</v>
      </c>
      <c r="AA67" s="731">
        <v>14000000</v>
      </c>
      <c r="AB67" s="351">
        <v>4130593</v>
      </c>
      <c r="AC67" s="63">
        <f t="shared" si="35"/>
        <v>9869407</v>
      </c>
      <c r="AD67" s="270">
        <f>SUM(Z67-AB67)</f>
        <v>12869407</v>
      </c>
      <c r="AE67" s="270">
        <v>7789818</v>
      </c>
      <c r="AF67" s="270">
        <f>SUM(AD67-AE67)</f>
        <v>5079589</v>
      </c>
      <c r="AG67" s="644">
        <f>SUM(R67+T67+V67+Y67+W67+AB67)</f>
        <v>4130593</v>
      </c>
      <c r="AH67" s="271">
        <f>AB67/(AB67+AE67+AF67)</f>
        <v>0.24297605882352941</v>
      </c>
      <c r="AI67" s="272"/>
      <c r="AJ67" s="273"/>
      <c r="AK67" s="274" t="e">
        <f>SUM(AD67-AE67-#REF!-#REF!)</f>
        <v>#REF!</v>
      </c>
      <c r="AL67" s="275">
        <f t="shared" si="37"/>
        <v>0.24297605882352941</v>
      </c>
      <c r="AM67" s="175"/>
      <c r="AN67" s="277"/>
      <c r="AO67" s="276" t="s">
        <v>1223</v>
      </c>
      <c r="AP67" s="77">
        <v>3000000</v>
      </c>
      <c r="AQ67" s="77"/>
      <c r="AR67" s="125">
        <f>12389041+40249911</f>
        <v>52638952</v>
      </c>
      <c r="AU67" s="126"/>
    </row>
    <row r="68" spans="1:47" s="28" customFormat="1" ht="36" x14ac:dyDescent="0.35">
      <c r="A68" s="27" t="s">
        <v>100</v>
      </c>
      <c r="B68" s="38">
        <v>2</v>
      </c>
      <c r="C68" s="38">
        <v>0</v>
      </c>
      <c r="D68" s="38">
        <v>4</v>
      </c>
      <c r="E68" s="38">
        <v>9</v>
      </c>
      <c r="F68" s="38">
        <v>9</v>
      </c>
      <c r="G68" s="38" t="s">
        <v>147</v>
      </c>
      <c r="H68" s="25">
        <v>10</v>
      </c>
      <c r="I68" s="25" t="s">
        <v>88</v>
      </c>
      <c r="J68" s="42" t="s">
        <v>392</v>
      </c>
      <c r="K68" s="590">
        <v>10358060</v>
      </c>
      <c r="L68" s="590">
        <v>767811</v>
      </c>
      <c r="M68" s="590">
        <v>9175385</v>
      </c>
      <c r="N68" s="45">
        <v>100000</v>
      </c>
      <c r="O68" s="45"/>
      <c r="P68" s="45"/>
      <c r="Q68" s="45">
        <f>SUM(N68+O68-P68)</f>
        <v>100000</v>
      </c>
      <c r="R68" s="45"/>
      <c r="S68" s="45"/>
      <c r="T68" s="45"/>
      <c r="U68" s="45"/>
      <c r="V68" s="63"/>
      <c r="W68" s="63"/>
      <c r="X68" s="258">
        <f>SUM(U68)</f>
        <v>0</v>
      </c>
      <c r="Y68" s="270"/>
      <c r="Z68" s="63">
        <f>SUM(Q68-R68-T68-V68-W68-X68-Y68)</f>
        <v>100000</v>
      </c>
      <c r="AA68" s="736"/>
      <c r="AB68" s="351"/>
      <c r="AC68" s="66">
        <f t="shared" si="35"/>
        <v>0</v>
      </c>
      <c r="AD68" s="270">
        <f>SUM(Z68-AB68)</f>
        <v>100000</v>
      </c>
      <c r="AE68" s="270"/>
      <c r="AF68" s="270">
        <f>SUM(AD68-AE68)</f>
        <v>100000</v>
      </c>
      <c r="AG68" s="644">
        <f>SUM(R68+T68+V68+Y68+W68+AB68)</f>
        <v>0</v>
      </c>
      <c r="AH68" s="271">
        <f>AB68/(AB68+AE68+AF68)</f>
        <v>0</v>
      </c>
      <c r="AI68" s="272"/>
      <c r="AJ68" s="273"/>
      <c r="AK68" s="274" t="e">
        <f>SUM(AD68-AE68-#REF!-#REF!)</f>
        <v>#REF!</v>
      </c>
      <c r="AL68" s="275">
        <f t="shared" si="37"/>
        <v>0</v>
      </c>
      <c r="AM68" s="175"/>
      <c r="AN68" s="277"/>
      <c r="AO68" s="276"/>
      <c r="AP68" s="77"/>
      <c r="AQ68" s="77"/>
      <c r="AR68" s="125">
        <v>28373181</v>
      </c>
      <c r="AU68" s="126"/>
    </row>
    <row r="69" spans="1:47" s="28" customFormat="1" ht="36" x14ac:dyDescent="0.35">
      <c r="A69" s="27" t="s">
        <v>100</v>
      </c>
      <c r="B69" s="38">
        <v>2</v>
      </c>
      <c r="C69" s="38">
        <v>0</v>
      </c>
      <c r="D69" s="38">
        <v>4</v>
      </c>
      <c r="E69" s="38">
        <v>9</v>
      </c>
      <c r="F69" s="38">
        <v>13</v>
      </c>
      <c r="G69" s="38" t="s">
        <v>147</v>
      </c>
      <c r="H69" s="25">
        <v>10</v>
      </c>
      <c r="I69" s="25" t="s">
        <v>88</v>
      </c>
      <c r="J69" s="42" t="s">
        <v>393</v>
      </c>
      <c r="K69" s="590">
        <v>1239245</v>
      </c>
      <c r="L69" s="590">
        <v>668488</v>
      </c>
      <c r="M69" s="590">
        <v>820983</v>
      </c>
      <c r="N69" s="45">
        <v>100000</v>
      </c>
      <c r="O69" s="45"/>
      <c r="P69" s="45"/>
      <c r="Q69" s="45">
        <f>SUM(N69+O69-P69)</f>
        <v>100000</v>
      </c>
      <c r="R69" s="45"/>
      <c r="S69" s="45"/>
      <c r="T69" s="45"/>
      <c r="U69" s="45"/>
      <c r="V69" s="63"/>
      <c r="W69" s="63"/>
      <c r="X69" s="258">
        <f>SUM(U69)</f>
        <v>0</v>
      </c>
      <c r="Y69" s="270"/>
      <c r="Z69" s="63">
        <f>SUM(Q69-R69-T69-V69-W69-X69-Y69)</f>
        <v>100000</v>
      </c>
      <c r="AA69" s="736"/>
      <c r="AB69" s="352"/>
      <c r="AC69" s="66">
        <v>6488206</v>
      </c>
      <c r="AD69" s="270">
        <f>SUM(Z69-AB69)</f>
        <v>100000</v>
      </c>
      <c r="AE69" s="270"/>
      <c r="AF69" s="270">
        <f>SUM(AD69-AE69)</f>
        <v>100000</v>
      </c>
      <c r="AG69" s="644">
        <f>SUM(R69+T69+V69+Y69+W69+AB69)</f>
        <v>0</v>
      </c>
      <c r="AH69" s="271">
        <f>AB69/(AB69+AE69+AF69)</f>
        <v>0</v>
      </c>
      <c r="AI69" s="272"/>
      <c r="AJ69" s="273"/>
      <c r="AK69" s="274" t="e">
        <f>SUM(AD69-AE69-#REF!-#REF!)</f>
        <v>#REF!</v>
      </c>
      <c r="AL69" s="275">
        <f t="shared" si="37"/>
        <v>0</v>
      </c>
      <c r="AM69" s="175"/>
      <c r="AN69" s="277"/>
      <c r="AO69" s="276"/>
      <c r="AP69" s="77"/>
      <c r="AQ69" s="77"/>
      <c r="AR69" s="353">
        <v>5561276</v>
      </c>
      <c r="AU69" s="126"/>
    </row>
    <row r="70" spans="1:47" s="34" customFormat="1" ht="69.75" x14ac:dyDescent="0.35">
      <c r="A70" s="31"/>
      <c r="B70" s="32"/>
      <c r="C70" s="32"/>
      <c r="D70" s="32"/>
      <c r="E70" s="32"/>
      <c r="F70" s="32"/>
      <c r="G70" s="32"/>
      <c r="H70" s="33"/>
      <c r="I70" s="33"/>
      <c r="J70" s="35" t="s">
        <v>394</v>
      </c>
      <c r="K70" s="279">
        <f t="shared" ref="K70:Q70" si="38">SUM(K65:K69)</f>
        <v>81455272</v>
      </c>
      <c r="L70" s="279">
        <f t="shared" si="38"/>
        <v>27971166</v>
      </c>
      <c r="M70" s="279">
        <f t="shared" si="38"/>
        <v>61901187</v>
      </c>
      <c r="N70" s="280">
        <f t="shared" si="38"/>
        <v>14400000</v>
      </c>
      <c r="O70" s="280">
        <f t="shared" si="38"/>
        <v>3000000</v>
      </c>
      <c r="P70" s="280">
        <f t="shared" si="38"/>
        <v>0</v>
      </c>
      <c r="Q70" s="280">
        <f t="shared" si="38"/>
        <v>17400000</v>
      </c>
      <c r="R70" s="354"/>
      <c r="S70" s="354">
        <f t="shared" ref="S70:AD70" si="39">SUM(S65:S69)</f>
        <v>0</v>
      </c>
      <c r="T70" s="354">
        <f t="shared" si="39"/>
        <v>0</v>
      </c>
      <c r="U70" s="354">
        <f t="shared" si="39"/>
        <v>0</v>
      </c>
      <c r="V70" s="39">
        <f t="shared" si="39"/>
        <v>0</v>
      </c>
      <c r="W70" s="39">
        <f t="shared" si="39"/>
        <v>0</v>
      </c>
      <c r="X70" s="258">
        <f t="shared" si="39"/>
        <v>0</v>
      </c>
      <c r="Y70" s="284">
        <f t="shared" si="39"/>
        <v>0</v>
      </c>
      <c r="Z70" s="39">
        <f t="shared" si="39"/>
        <v>17400000</v>
      </c>
      <c r="AA70" s="39">
        <f t="shared" si="39"/>
        <v>14000000</v>
      </c>
      <c r="AB70" s="39">
        <f t="shared" si="39"/>
        <v>4130593</v>
      </c>
      <c r="AC70" s="39">
        <f t="shared" si="39"/>
        <v>16357613</v>
      </c>
      <c r="AD70" s="39">
        <f t="shared" si="39"/>
        <v>13269407</v>
      </c>
      <c r="AE70" s="284">
        <f>SUM(AE65:AE69)</f>
        <v>7789818</v>
      </c>
      <c r="AF70" s="284">
        <f>SUM(AF65:AF69)</f>
        <v>5479589</v>
      </c>
      <c r="AG70" s="284">
        <f>SUM(AG65:AG69)</f>
        <v>4130593</v>
      </c>
      <c r="AH70" s="314">
        <f>SUM(AB70/Z70)</f>
        <v>0.23739040229885058</v>
      </c>
      <c r="AI70" s="284"/>
      <c r="AJ70" s="355" t="s">
        <v>395</v>
      </c>
      <c r="AK70" s="285" t="e">
        <f>SUM(AD70-AE70-#REF!-#REF!)</f>
        <v>#REF!</v>
      </c>
      <c r="AL70" s="286">
        <f t="shared" si="37"/>
        <v>0.23739040229885058</v>
      </c>
      <c r="AM70" s="208"/>
      <c r="AN70" s="287"/>
      <c r="AO70" s="288"/>
      <c r="AP70" s="289"/>
      <c r="AQ70" s="289"/>
      <c r="AR70" s="290"/>
      <c r="AU70" s="291"/>
    </row>
    <row r="71" spans="1:47" s="28" customFormat="1" ht="33" customHeight="1" x14ac:dyDescent="0.35">
      <c r="A71" s="356"/>
      <c r="B71" s="794" t="s">
        <v>396</v>
      </c>
      <c r="C71" s="795"/>
      <c r="D71" s="795"/>
      <c r="E71" s="795"/>
      <c r="F71" s="795"/>
      <c r="G71" s="795"/>
      <c r="H71" s="795"/>
      <c r="I71" s="795"/>
      <c r="J71" s="796"/>
      <c r="K71" s="25"/>
      <c r="L71" s="25"/>
      <c r="M71" s="25"/>
      <c r="N71" s="50"/>
      <c r="O71" s="50"/>
      <c r="P71" s="50"/>
      <c r="Q71" s="50"/>
      <c r="R71" s="50"/>
      <c r="S71" s="50"/>
      <c r="T71" s="50"/>
      <c r="U71" s="50"/>
      <c r="V71" s="64"/>
      <c r="W71" s="64"/>
      <c r="X71" s="296"/>
      <c r="Y71" s="64"/>
      <c r="Z71" s="64"/>
      <c r="AA71" s="64"/>
      <c r="AB71" s="64"/>
      <c r="AC71" s="64"/>
      <c r="AD71" s="357"/>
      <c r="AE71" s="64"/>
      <c r="AF71" s="64"/>
      <c r="AG71" s="645"/>
      <c r="AH71" s="271"/>
      <c r="AI71" s="316"/>
      <c r="AJ71" s="273"/>
      <c r="AK71" s="274" t="e">
        <f>SUM(AD71-AE71-#REF!-#REF!)</f>
        <v>#REF!</v>
      </c>
      <c r="AL71" s="317"/>
      <c r="AM71" s="230"/>
      <c r="AN71" s="262"/>
      <c r="AO71" s="263"/>
      <c r="AP71" s="77"/>
      <c r="AQ71" s="77"/>
      <c r="AR71" s="125"/>
      <c r="AU71" s="126"/>
    </row>
    <row r="72" spans="1:47" s="28" customFormat="1" ht="41.25" customHeight="1" x14ac:dyDescent="0.35">
      <c r="A72" s="27"/>
      <c r="B72" s="38"/>
      <c r="C72" s="38"/>
      <c r="D72" s="38"/>
      <c r="E72" s="38"/>
      <c r="F72" s="38"/>
      <c r="G72" s="38"/>
      <c r="H72" s="25"/>
      <c r="I72" s="25"/>
      <c r="J72" s="36" t="s">
        <v>397</v>
      </c>
      <c r="K72" s="590">
        <v>868840</v>
      </c>
      <c r="L72" s="590">
        <v>500000</v>
      </c>
      <c r="M72" s="590"/>
      <c r="N72" s="45"/>
      <c r="O72" s="45"/>
      <c r="P72" s="45"/>
      <c r="Q72" s="45">
        <f>SUM(N72+O72-P72)</f>
        <v>0</v>
      </c>
      <c r="R72" s="268"/>
      <c r="S72" s="268"/>
      <c r="T72" s="268"/>
      <c r="U72" s="268"/>
      <c r="V72" s="63"/>
      <c r="W72" s="63"/>
      <c r="X72" s="258">
        <f>SUM(U72)</f>
        <v>0</v>
      </c>
      <c r="Y72" s="270"/>
      <c r="Z72" s="63">
        <f>SUM(Q72-R72-T72-V72-W72-X72-Y72)</f>
        <v>0</v>
      </c>
      <c r="AA72" s="63"/>
      <c r="AB72" s="63"/>
      <c r="AC72" s="63">
        <f t="shared" si="35"/>
        <v>0</v>
      </c>
      <c r="AD72" s="270">
        <f>SUM(Z72-AB72)</f>
        <v>0</v>
      </c>
      <c r="AE72" s="270"/>
      <c r="AF72" s="270">
        <f>SUM(AD72-AE72)</f>
        <v>0</v>
      </c>
      <c r="AG72" s="644">
        <f>SUM(R72+T72+V72+Y72+W72+AB72)</f>
        <v>0</v>
      </c>
      <c r="AH72" s="271"/>
      <c r="AI72" s="272"/>
      <c r="AJ72" s="273"/>
      <c r="AK72" s="274" t="e">
        <f>SUM(AD72-AE72-#REF!-#REF!)</f>
        <v>#REF!</v>
      </c>
      <c r="AL72" s="275" t="e">
        <f>SUM(Q72-(AD72+X72))/Q72</f>
        <v>#DIV/0!</v>
      </c>
      <c r="AM72" s="182"/>
      <c r="AN72" s="333"/>
      <c r="AO72" s="358"/>
      <c r="AP72" s="77"/>
      <c r="AQ72" s="77"/>
      <c r="AR72" s="125"/>
      <c r="AU72" s="126"/>
    </row>
    <row r="73" spans="1:47" s="28" customFormat="1" ht="36" x14ac:dyDescent="0.35">
      <c r="A73" s="27" t="s">
        <v>100</v>
      </c>
      <c r="B73" s="38">
        <v>2</v>
      </c>
      <c r="C73" s="38">
        <v>0</v>
      </c>
      <c r="D73" s="38">
        <v>4</v>
      </c>
      <c r="E73" s="38">
        <v>10</v>
      </c>
      <c r="F73" s="38">
        <v>2</v>
      </c>
      <c r="G73" s="38" t="s">
        <v>147</v>
      </c>
      <c r="H73" s="25">
        <v>10</v>
      </c>
      <c r="I73" s="25" t="s">
        <v>88</v>
      </c>
      <c r="J73" s="36" t="s">
        <v>398</v>
      </c>
      <c r="K73" s="590">
        <v>5444300</v>
      </c>
      <c r="L73" s="590">
        <v>5236662</v>
      </c>
      <c r="M73" s="590">
        <v>5612740</v>
      </c>
      <c r="N73" s="45">
        <v>6778000</v>
      </c>
      <c r="O73" s="45"/>
      <c r="P73" s="45"/>
      <c r="Q73" s="45">
        <f>SUM(N73+O73-P73)</f>
        <v>6778000</v>
      </c>
      <c r="R73" s="268"/>
      <c r="S73" s="268"/>
      <c r="T73" s="268"/>
      <c r="U73" s="268"/>
      <c r="V73" s="63">
        <v>6778000</v>
      </c>
      <c r="W73" s="63"/>
      <c r="X73" s="258">
        <f>SUM(U73)</f>
        <v>0</v>
      </c>
      <c r="Y73" s="270"/>
      <c r="Z73" s="63">
        <f>SUM(Q73-R73-T73-V73-W73-X73-Y73)</f>
        <v>0</v>
      </c>
      <c r="AA73" s="63"/>
      <c r="AB73" s="63"/>
      <c r="AC73" s="63">
        <f t="shared" si="35"/>
        <v>0</v>
      </c>
      <c r="AD73" s="270">
        <f>SUM(Z73-AB73)</f>
        <v>0</v>
      </c>
      <c r="AE73" s="270"/>
      <c r="AF73" s="270">
        <f>SUM(AD73-AE73)</f>
        <v>0</v>
      </c>
      <c r="AG73" s="644">
        <f>SUM(R73+T73+V73+Y73+W73+AB73)</f>
        <v>6778000</v>
      </c>
      <c r="AH73" s="271"/>
      <c r="AI73" s="272"/>
      <c r="AJ73" s="273"/>
      <c r="AK73" s="274" t="e">
        <f>SUM(AD73-AE73-#REF!-#REF!)</f>
        <v>#REF!</v>
      </c>
      <c r="AL73" s="275">
        <f>SUM(Q73-(AD73+X73))/Q73</f>
        <v>1</v>
      </c>
      <c r="AM73" s="182"/>
      <c r="AN73" s="333"/>
      <c r="AO73" s="358"/>
      <c r="AP73" s="77"/>
      <c r="AQ73" s="77"/>
      <c r="AR73" s="125"/>
      <c r="AU73" s="126"/>
    </row>
    <row r="74" spans="1:47" s="34" customFormat="1" x14ac:dyDescent="0.35">
      <c r="A74" s="31"/>
      <c r="B74" s="32"/>
      <c r="C74" s="32"/>
      <c r="D74" s="32"/>
      <c r="E74" s="32"/>
      <c r="F74" s="32"/>
      <c r="G74" s="32"/>
      <c r="H74" s="33"/>
      <c r="I74" s="33"/>
      <c r="J74" s="35" t="s">
        <v>399</v>
      </c>
      <c r="K74" s="279">
        <f>SUM(K72:K73)</f>
        <v>6313140</v>
      </c>
      <c r="L74" s="279">
        <f>SUM(L72:L73)</f>
        <v>5736662</v>
      </c>
      <c r="M74" s="279">
        <f>SUM(M72:M73)</f>
        <v>5612740</v>
      </c>
      <c r="N74" s="280">
        <f>SUM(N73)</f>
        <v>6778000</v>
      </c>
      <c r="O74" s="280">
        <f>SUM(O73)</f>
        <v>0</v>
      </c>
      <c r="P74" s="280">
        <f>SUM(P73)</f>
        <v>0</v>
      </c>
      <c r="Q74" s="280">
        <f>SUM(Q73)</f>
        <v>6778000</v>
      </c>
      <c r="R74" s="354"/>
      <c r="S74" s="354">
        <f>SUM(S72:S73)</f>
        <v>0</v>
      </c>
      <c r="T74" s="354">
        <f>SUM(T72:T73)</f>
        <v>0</v>
      </c>
      <c r="U74" s="354">
        <f>SUM(U72:U73)</f>
        <v>0</v>
      </c>
      <c r="V74" s="39">
        <f>SUM(V72:V73)</f>
        <v>6778000</v>
      </c>
      <c r="W74" s="39">
        <f t="shared" ref="W74:AB74" si="40">SUM(W73)</f>
        <v>0</v>
      </c>
      <c r="X74" s="258">
        <f>SUM(X71:X73)</f>
        <v>0</v>
      </c>
      <c r="Y74" s="284">
        <f>SUM(Y71:Y73)</f>
        <v>0</v>
      </c>
      <c r="Z74" s="39">
        <f t="shared" si="40"/>
        <v>0</v>
      </c>
      <c r="AA74" s="39">
        <f t="shared" si="40"/>
        <v>0</v>
      </c>
      <c r="AB74" s="39">
        <f t="shared" si="40"/>
        <v>0</v>
      </c>
      <c r="AC74" s="39">
        <f t="shared" si="35"/>
        <v>0</v>
      </c>
      <c r="AD74" s="284">
        <f>SUM(AD71:AD73)</f>
        <v>0</v>
      </c>
      <c r="AE74" s="284">
        <f>SUM(AE71:AE73)</f>
        <v>0</v>
      </c>
      <c r="AF74" s="284">
        <f>SUM(AF71:AF73)</f>
        <v>0</v>
      </c>
      <c r="AG74" s="282"/>
      <c r="AH74" s="314"/>
      <c r="AI74" s="284"/>
      <c r="AJ74" s="39"/>
      <c r="AK74" s="285" t="e">
        <f>SUM(AD74-AE74-#REF!-#REF!)</f>
        <v>#REF!</v>
      </c>
      <c r="AL74" s="286">
        <f>SUM(Q74-(AD74+X74))/Q74</f>
        <v>1</v>
      </c>
      <c r="AM74" s="340"/>
      <c r="AN74" s="359">
        <f>SUM(AN72:AN73)</f>
        <v>0</v>
      </c>
      <c r="AO74" s="288"/>
      <c r="AP74" s="289"/>
      <c r="AQ74" s="289"/>
      <c r="AR74" s="290"/>
      <c r="AU74" s="291"/>
    </row>
    <row r="75" spans="1:47" s="28" customFormat="1" ht="39.75" customHeight="1" x14ac:dyDescent="0.35">
      <c r="A75" s="27"/>
      <c r="B75" s="794" t="s">
        <v>125</v>
      </c>
      <c r="C75" s="795"/>
      <c r="D75" s="795"/>
      <c r="E75" s="795"/>
      <c r="F75" s="795"/>
      <c r="G75" s="795"/>
      <c r="H75" s="795"/>
      <c r="I75" s="795"/>
      <c r="J75" s="795"/>
      <c r="K75" s="25"/>
      <c r="L75" s="25"/>
      <c r="M75" s="25"/>
      <c r="N75" s="50"/>
      <c r="O75" s="50"/>
      <c r="P75" s="50"/>
      <c r="Q75" s="50"/>
      <c r="R75" s="50"/>
      <c r="S75" s="50"/>
      <c r="T75" s="50"/>
      <c r="U75" s="50"/>
      <c r="V75" s="64"/>
      <c r="W75" s="64"/>
      <c r="X75" s="296"/>
      <c r="Y75" s="64"/>
      <c r="Z75" s="64"/>
      <c r="AA75" s="64"/>
      <c r="AB75" s="64"/>
      <c r="AC75" s="64"/>
      <c r="AD75" s="64"/>
      <c r="AE75" s="64"/>
      <c r="AF75" s="64"/>
      <c r="AG75" s="645"/>
      <c r="AH75" s="271"/>
      <c r="AI75" s="360"/>
      <c r="AJ75" s="361"/>
      <c r="AK75" s="274" t="e">
        <f>SUM(AD75-AE75-#REF!-#REF!)</f>
        <v>#REF!</v>
      </c>
      <c r="AL75" s="261"/>
      <c r="AM75" s="230"/>
      <c r="AN75" s="262"/>
      <c r="AO75" s="263"/>
      <c r="AP75" s="77"/>
      <c r="AQ75" s="77"/>
      <c r="AR75" s="125"/>
      <c r="AU75" s="126"/>
    </row>
    <row r="76" spans="1:47" s="28" customFormat="1" ht="36" x14ac:dyDescent="0.35">
      <c r="A76" s="27" t="s">
        <v>100</v>
      </c>
      <c r="B76" s="38">
        <v>2</v>
      </c>
      <c r="C76" s="38">
        <v>0</v>
      </c>
      <c r="D76" s="38">
        <v>4</v>
      </c>
      <c r="E76" s="38">
        <v>11</v>
      </c>
      <c r="F76" s="38">
        <v>1</v>
      </c>
      <c r="G76" s="38" t="s">
        <v>147</v>
      </c>
      <c r="H76" s="25">
        <v>10</v>
      </c>
      <c r="I76" s="25" t="s">
        <v>88</v>
      </c>
      <c r="J76" s="42" t="s">
        <v>400</v>
      </c>
      <c r="K76" s="797">
        <v>29008131.350000001</v>
      </c>
      <c r="L76" s="797">
        <v>20292720.050000001</v>
      </c>
      <c r="M76" s="324">
        <v>4233988</v>
      </c>
      <c r="N76" s="45"/>
      <c r="O76" s="45"/>
      <c r="P76" s="45"/>
      <c r="Q76" s="45">
        <f>SUM(N76+O76-P76)</f>
        <v>0</v>
      </c>
      <c r="R76" s="45"/>
      <c r="S76" s="45"/>
      <c r="T76" s="45"/>
      <c r="U76" s="45"/>
      <c r="V76" s="63"/>
      <c r="W76" s="63"/>
      <c r="X76" s="258">
        <f>SUM(U76)</f>
        <v>0</v>
      </c>
      <c r="Y76" s="270"/>
      <c r="Z76" s="63">
        <f>SUM(Q76-R76-T76-V76-W76-X76-Y76)</f>
        <v>0</v>
      </c>
      <c r="AA76" s="629"/>
      <c r="AB76" s="629"/>
      <c r="AC76" s="629">
        <f t="shared" si="35"/>
        <v>0</v>
      </c>
      <c r="AD76" s="630">
        <f>SUM(Z76-AB76)</f>
        <v>0</v>
      </c>
      <c r="AE76" s="630"/>
      <c r="AF76" s="630">
        <f>SUM(AD76-AE76)</f>
        <v>0</v>
      </c>
      <c r="AG76" s="644">
        <f>SUM(R76+T76+V76+Y76+W76+AB76)</f>
        <v>0</v>
      </c>
      <c r="AH76" s="631"/>
      <c r="AI76" s="630"/>
      <c r="AJ76" s="632"/>
      <c r="AK76" s="633" t="e">
        <f>SUM(AD76-AE76-#REF!-#REF!)</f>
        <v>#REF!</v>
      </c>
      <c r="AL76" s="634" t="e">
        <f>SUM(Q76-(AD76+X76))/Q76</f>
        <v>#DIV/0!</v>
      </c>
      <c r="AM76" s="175"/>
      <c r="AN76" s="262"/>
      <c r="AO76" s="276"/>
      <c r="AP76" s="77"/>
      <c r="AQ76" s="77"/>
      <c r="AR76" s="125"/>
      <c r="AU76" s="126"/>
    </row>
    <row r="77" spans="1:47" s="28" customFormat="1" ht="36" x14ac:dyDescent="0.35">
      <c r="A77" s="27" t="s">
        <v>100</v>
      </c>
      <c r="B77" s="38">
        <v>2</v>
      </c>
      <c r="C77" s="38">
        <v>0</v>
      </c>
      <c r="D77" s="38">
        <v>4</v>
      </c>
      <c r="E77" s="38">
        <v>11</v>
      </c>
      <c r="F77" s="38">
        <v>1</v>
      </c>
      <c r="G77" s="38" t="s">
        <v>147</v>
      </c>
      <c r="H77" s="25">
        <v>10</v>
      </c>
      <c r="I77" s="25" t="s">
        <v>88</v>
      </c>
      <c r="J77" s="36" t="s">
        <v>401</v>
      </c>
      <c r="K77" s="797"/>
      <c r="L77" s="797"/>
      <c r="M77" s="324">
        <v>4799781.63</v>
      </c>
      <c r="N77" s="45">
        <v>0</v>
      </c>
      <c r="O77" s="45"/>
      <c r="P77" s="45"/>
      <c r="Q77" s="45">
        <f>SUM(N77+O77-P77)</f>
        <v>0</v>
      </c>
      <c r="R77" s="45"/>
      <c r="S77" s="45"/>
      <c r="T77" s="45"/>
      <c r="U77" s="45"/>
      <c r="V77" s="63"/>
      <c r="W77" s="63"/>
      <c r="X77" s="258">
        <f>SUM(U77)</f>
        <v>0</v>
      </c>
      <c r="Y77" s="270"/>
      <c r="Z77" s="63">
        <f>SUM(Q77-R77-T77-V77-W77-X77-Y77)</f>
        <v>0</v>
      </c>
      <c r="AA77" s="629"/>
      <c r="AB77" s="629"/>
      <c r="AC77" s="629">
        <f t="shared" si="35"/>
        <v>0</v>
      </c>
      <c r="AD77" s="630"/>
      <c r="AE77" s="630"/>
      <c r="AF77" s="630">
        <f>SUM(AD77-AE77)</f>
        <v>0</v>
      </c>
      <c r="AG77" s="644">
        <f>SUM(R77+T77+V77+Y77+W77+AB77)</f>
        <v>0</v>
      </c>
      <c r="AH77" s="631"/>
      <c r="AI77" s="630"/>
      <c r="AJ77" s="632"/>
      <c r="AK77" s="633" t="e">
        <f>SUM(AD77-AE77-#REF!-#REF!)</f>
        <v>#REF!</v>
      </c>
      <c r="AL77" s="634" t="e">
        <f>SUM(Q77-(AD77+X77))/Q77</f>
        <v>#DIV/0!</v>
      </c>
      <c r="AM77" s="182"/>
      <c r="AN77" s="333"/>
      <c r="AO77" s="358"/>
      <c r="AP77" s="77"/>
      <c r="AQ77" s="77"/>
      <c r="AR77" s="125"/>
      <c r="AU77" s="126"/>
    </row>
    <row r="78" spans="1:47" s="28" customFormat="1" ht="75" customHeight="1" x14ac:dyDescent="0.35">
      <c r="A78" s="27" t="s">
        <v>100</v>
      </c>
      <c r="B78" s="38">
        <v>2</v>
      </c>
      <c r="C78" s="38">
        <v>0</v>
      </c>
      <c r="D78" s="38">
        <v>4</v>
      </c>
      <c r="E78" s="38">
        <v>11</v>
      </c>
      <c r="F78" s="38">
        <v>2</v>
      </c>
      <c r="G78" s="38" t="s">
        <v>147</v>
      </c>
      <c r="H78" s="25">
        <v>10</v>
      </c>
      <c r="I78" s="25" t="s">
        <v>88</v>
      </c>
      <c r="J78" s="42" t="s">
        <v>402</v>
      </c>
      <c r="K78" s="797">
        <v>19651579</v>
      </c>
      <c r="L78" s="797">
        <v>37367844.5</v>
      </c>
      <c r="M78" s="590">
        <v>11937409</v>
      </c>
      <c r="N78" s="635">
        <v>35000000</v>
      </c>
      <c r="O78" s="45"/>
      <c r="P78" s="45"/>
      <c r="Q78" s="45">
        <f>SUM(N78+O78-P78)</f>
        <v>35000000</v>
      </c>
      <c r="R78" s="45"/>
      <c r="S78" s="45"/>
      <c r="T78" s="45"/>
      <c r="U78" s="45"/>
      <c r="V78" s="63"/>
      <c r="W78" s="63"/>
      <c r="X78" s="258">
        <f>SUM(U78)</f>
        <v>0</v>
      </c>
      <c r="Y78" s="270"/>
      <c r="Z78" s="63">
        <f>SUM(Q78-R78-T78-V78-W78-X78-Y78)</f>
        <v>35000000</v>
      </c>
      <c r="AA78" s="731">
        <v>35000000</v>
      </c>
      <c r="AB78" s="63">
        <v>35000000</v>
      </c>
      <c r="AC78" s="63">
        <f t="shared" si="35"/>
        <v>0</v>
      </c>
      <c r="AD78" s="270">
        <f>SUM(Z78-AB78)</f>
        <v>0</v>
      </c>
      <c r="AE78" s="270"/>
      <c r="AF78" s="270">
        <f>SUM(AD78-AE78)</f>
        <v>0</v>
      </c>
      <c r="AG78" s="644">
        <f>SUM(R78+T78+V78+Y78+W78+AB78)</f>
        <v>35000000</v>
      </c>
      <c r="AH78" s="271">
        <f>AB78/(AB78+AE78+AF78)</f>
        <v>1</v>
      </c>
      <c r="AI78" s="272"/>
      <c r="AJ78" s="273"/>
      <c r="AK78" s="274" t="e">
        <f>SUM(AD78-AE78-#REF!-#REF!)</f>
        <v>#REF!</v>
      </c>
      <c r="AL78" s="275">
        <f>SUM(Q78-(AD78+X78))/Q78</f>
        <v>1</v>
      </c>
      <c r="AM78" s="175"/>
      <c r="AN78" s="362"/>
      <c r="AO78" s="276"/>
      <c r="AP78" s="77"/>
      <c r="AQ78" s="77"/>
      <c r="AR78" s="264"/>
      <c r="AU78" s="126"/>
    </row>
    <row r="79" spans="1:47" s="28" customFormat="1" ht="36" x14ac:dyDescent="0.35">
      <c r="A79" s="27" t="s">
        <v>100</v>
      </c>
      <c r="B79" s="38">
        <v>2</v>
      </c>
      <c r="C79" s="38">
        <v>0</v>
      </c>
      <c r="D79" s="38">
        <v>4</v>
      </c>
      <c r="E79" s="38">
        <v>11</v>
      </c>
      <c r="F79" s="38">
        <v>2</v>
      </c>
      <c r="G79" s="38" t="s">
        <v>147</v>
      </c>
      <c r="H79" s="25">
        <v>10</v>
      </c>
      <c r="I79" s="25" t="s">
        <v>88</v>
      </c>
      <c r="J79" s="36" t="s">
        <v>115</v>
      </c>
      <c r="K79" s="797"/>
      <c r="L79" s="797"/>
      <c r="M79" s="590">
        <v>12823734</v>
      </c>
      <c r="N79" s="636">
        <v>20000000</v>
      </c>
      <c r="O79" s="45"/>
      <c r="P79" s="45"/>
      <c r="Q79" s="45">
        <f>SUM(N79+O79-P79)</f>
        <v>20000000</v>
      </c>
      <c r="R79" s="363">
        <v>4000000</v>
      </c>
      <c r="S79" s="364">
        <v>15413566</v>
      </c>
      <c r="T79" s="365"/>
      <c r="U79" s="363">
        <f>SUM(S79-T79)</f>
        <v>15413566</v>
      </c>
      <c r="V79" s="63">
        <v>586434</v>
      </c>
      <c r="W79" s="63"/>
      <c r="X79" s="258">
        <f>SUM(U79)</f>
        <v>15413566</v>
      </c>
      <c r="Y79" s="270"/>
      <c r="Z79" s="63">
        <f>SUM(Q79-R79-T79-V79-W79-X79-Y79)</f>
        <v>0</v>
      </c>
      <c r="AA79" s="63"/>
      <c r="AB79" s="63"/>
      <c r="AC79" s="63">
        <f t="shared" si="35"/>
        <v>0</v>
      </c>
      <c r="AD79" s="270">
        <f>SUM(Z79-AB79)</f>
        <v>0</v>
      </c>
      <c r="AE79" s="270">
        <v>0</v>
      </c>
      <c r="AF79" s="270">
        <f>SUM(AD79-AE79)</f>
        <v>0</v>
      </c>
      <c r="AG79" s="644">
        <f>SUM(R79+T79+V79+Y79+W79+AB79)</f>
        <v>4586434</v>
      </c>
      <c r="AH79" s="271"/>
      <c r="AI79" s="272"/>
      <c r="AJ79" s="273"/>
      <c r="AK79" s="274" t="e">
        <f>SUM(AD79-AE79-#REF!-#REF!)</f>
        <v>#REF!</v>
      </c>
      <c r="AL79" s="275">
        <f>SUM(Q79-(AD79+X79))/Q79</f>
        <v>0.22932169999999999</v>
      </c>
      <c r="AM79" s="182"/>
      <c r="AN79" s="333"/>
      <c r="AO79" s="358"/>
      <c r="AP79" s="77"/>
      <c r="AQ79" s="77"/>
      <c r="AR79" s="125"/>
      <c r="AU79" s="126"/>
    </row>
    <row r="80" spans="1:47" s="34" customFormat="1" x14ac:dyDescent="0.35">
      <c r="A80" s="31"/>
      <c r="B80" s="32"/>
      <c r="C80" s="32"/>
      <c r="D80" s="32"/>
      <c r="E80" s="32"/>
      <c r="F80" s="32"/>
      <c r="G80" s="32"/>
      <c r="H80" s="33"/>
      <c r="I80" s="33"/>
      <c r="J80" s="35" t="s">
        <v>137</v>
      </c>
      <c r="K80" s="279">
        <f t="shared" ref="K80:AB80" si="41">SUM(K76:K79)</f>
        <v>48659710.350000001</v>
      </c>
      <c r="L80" s="279">
        <f t="shared" si="41"/>
        <v>57660564.549999997</v>
      </c>
      <c r="M80" s="279">
        <f t="shared" si="41"/>
        <v>33794912.629999995</v>
      </c>
      <c r="N80" s="280">
        <f t="shared" si="41"/>
        <v>55000000</v>
      </c>
      <c r="O80" s="280">
        <f t="shared" si="41"/>
        <v>0</v>
      </c>
      <c r="P80" s="280">
        <f t="shared" si="41"/>
        <v>0</v>
      </c>
      <c r="Q80" s="280">
        <f t="shared" si="41"/>
        <v>55000000</v>
      </c>
      <c r="R80" s="49">
        <f t="shared" si="41"/>
        <v>4000000</v>
      </c>
      <c r="S80" s="49">
        <f t="shared" si="41"/>
        <v>15413566</v>
      </c>
      <c r="T80" s="49">
        <f t="shared" si="41"/>
        <v>0</v>
      </c>
      <c r="U80" s="49">
        <f t="shared" si="41"/>
        <v>15413566</v>
      </c>
      <c r="V80" s="39">
        <f t="shared" si="41"/>
        <v>586434</v>
      </c>
      <c r="W80" s="39">
        <f t="shared" si="41"/>
        <v>0</v>
      </c>
      <c r="X80" s="258">
        <f t="shared" si="41"/>
        <v>15413566</v>
      </c>
      <c r="Y80" s="284">
        <f t="shared" si="41"/>
        <v>0</v>
      </c>
      <c r="Z80" s="39">
        <f t="shared" si="41"/>
        <v>35000000</v>
      </c>
      <c r="AA80" s="39">
        <f t="shared" si="41"/>
        <v>35000000</v>
      </c>
      <c r="AB80" s="39">
        <f t="shared" si="41"/>
        <v>35000000</v>
      </c>
      <c r="AC80" s="39">
        <f t="shared" si="35"/>
        <v>0</v>
      </c>
      <c r="AD80" s="284">
        <f>SUM(AD76:AD79)</f>
        <v>0</v>
      </c>
      <c r="AE80" s="284">
        <f>SUM(AE76:AE79)</f>
        <v>0</v>
      </c>
      <c r="AF80" s="284">
        <f>SUM(AF76:AF79)</f>
        <v>0</v>
      </c>
      <c r="AG80" s="282"/>
      <c r="AH80" s="294">
        <f>SUM(AB80/Z80)</f>
        <v>1</v>
      </c>
      <c r="AI80" s="284"/>
      <c r="AJ80" s="39"/>
      <c r="AK80" s="285" t="e">
        <f>SUM(AD80-AE80-#REF!-#REF!)</f>
        <v>#REF!</v>
      </c>
      <c r="AL80" s="283">
        <v>0.71452223892019795</v>
      </c>
      <c r="AM80" s="340"/>
      <c r="AN80" s="341">
        <f>SUM(AN76:AN79)</f>
        <v>0</v>
      </c>
      <c r="AO80" s="288"/>
      <c r="AP80" s="289"/>
      <c r="AQ80" s="289"/>
      <c r="AR80" s="290"/>
      <c r="AU80" s="291"/>
    </row>
    <row r="81" spans="1:47" s="28" customFormat="1" ht="46.5" customHeight="1" x14ac:dyDescent="0.35">
      <c r="A81" s="27"/>
      <c r="B81" s="794" t="s">
        <v>403</v>
      </c>
      <c r="C81" s="795"/>
      <c r="D81" s="795"/>
      <c r="E81" s="795"/>
      <c r="F81" s="795"/>
      <c r="G81" s="795"/>
      <c r="H81" s="795"/>
      <c r="I81" s="795"/>
      <c r="J81" s="795"/>
      <c r="K81" s="25"/>
      <c r="L81" s="25"/>
      <c r="M81" s="25"/>
      <c r="N81" s="50"/>
      <c r="O81" s="50"/>
      <c r="P81" s="50"/>
      <c r="Q81" s="50"/>
      <c r="R81" s="50"/>
      <c r="S81" s="50"/>
      <c r="T81" s="50"/>
      <c r="U81" s="50"/>
      <c r="V81" s="64"/>
      <c r="W81" s="64"/>
      <c r="X81" s="296"/>
      <c r="Y81" s="64"/>
      <c r="Z81" s="64"/>
      <c r="AA81" s="64"/>
      <c r="AB81" s="64"/>
      <c r="AC81" s="64"/>
      <c r="AD81" s="64"/>
      <c r="AE81" s="64"/>
      <c r="AF81" s="64"/>
      <c r="AG81" s="645"/>
      <c r="AH81" s="271"/>
      <c r="AI81" s="316"/>
      <c r="AJ81" s="273"/>
      <c r="AK81" s="274" t="e">
        <f>SUM(AD81-AE81-#REF!-#REF!)</f>
        <v>#REF!</v>
      </c>
      <c r="AL81" s="317"/>
      <c r="AM81" s="230"/>
      <c r="AN81" s="262"/>
      <c r="AO81" s="263"/>
      <c r="AP81" s="77"/>
      <c r="AQ81" s="77"/>
      <c r="AR81" s="125"/>
      <c r="AU81" s="126"/>
    </row>
    <row r="82" spans="1:47" s="28" customFormat="1" ht="36" x14ac:dyDescent="0.35">
      <c r="A82" s="27" t="s">
        <v>100</v>
      </c>
      <c r="B82" s="38">
        <v>2</v>
      </c>
      <c r="C82" s="38">
        <v>0</v>
      </c>
      <c r="D82" s="38">
        <v>4</v>
      </c>
      <c r="E82" s="38">
        <v>21</v>
      </c>
      <c r="F82" s="38">
        <v>4</v>
      </c>
      <c r="G82" s="38" t="s">
        <v>147</v>
      </c>
      <c r="H82" s="25">
        <v>10</v>
      </c>
      <c r="I82" s="25" t="s">
        <v>88</v>
      </c>
      <c r="J82" s="42" t="s">
        <v>404</v>
      </c>
      <c r="K82" s="590">
        <v>17194000</v>
      </c>
      <c r="L82" s="590">
        <v>19420850</v>
      </c>
      <c r="M82" s="590">
        <v>12708216</v>
      </c>
      <c r="N82" s="635">
        <v>30075000</v>
      </c>
      <c r="O82" s="45"/>
      <c r="P82" s="45"/>
      <c r="Q82" s="45">
        <f>SUM(N82+O82-P82)</f>
        <v>30075000</v>
      </c>
      <c r="R82" s="45"/>
      <c r="S82" s="45"/>
      <c r="T82" s="45"/>
      <c r="U82" s="45"/>
      <c r="V82" s="63"/>
      <c r="W82" s="63"/>
      <c r="X82" s="258">
        <f>SUM(U82)</f>
        <v>0</v>
      </c>
      <c r="Y82" s="270"/>
      <c r="Z82" s="63">
        <f>SUM(Q82-R82-T82-V82-W82-X82-Y82)</f>
        <v>30075000</v>
      </c>
      <c r="AA82" s="731">
        <v>30075000</v>
      </c>
      <c r="AB82" s="63"/>
      <c r="AC82" s="63">
        <f t="shared" si="35"/>
        <v>30075000</v>
      </c>
      <c r="AD82" s="270">
        <f>SUM(Z82-AB82)</f>
        <v>30075000</v>
      </c>
      <c r="AE82" s="270">
        <v>30075000</v>
      </c>
      <c r="AF82" s="270">
        <f>SUM(AD82-AE82)</f>
        <v>0</v>
      </c>
      <c r="AG82" s="644">
        <f>SUM(R82+T82+V82+Y82+W82+AB82)</f>
        <v>0</v>
      </c>
      <c r="AH82" s="271">
        <f>AB82/(AB82+AE82+AF82)</f>
        <v>0</v>
      </c>
      <c r="AI82" s="272"/>
      <c r="AJ82" s="273"/>
      <c r="AK82" s="274" t="e">
        <f>SUM(AD82-AE82-#REF!-#REF!)</f>
        <v>#REF!</v>
      </c>
      <c r="AL82" s="275">
        <f>SUM(Q82-(AD82+X82))/Q82</f>
        <v>0</v>
      </c>
      <c r="AM82" s="175"/>
      <c r="AN82" s="262"/>
      <c r="AO82" s="276"/>
      <c r="AP82" s="77"/>
      <c r="AQ82" s="77"/>
      <c r="AR82" s="318"/>
      <c r="AU82" s="126"/>
    </row>
    <row r="83" spans="1:47" s="28" customFormat="1" ht="36" x14ac:dyDescent="0.35">
      <c r="A83" s="27" t="s">
        <v>100</v>
      </c>
      <c r="B83" s="38">
        <v>2</v>
      </c>
      <c r="C83" s="38">
        <v>0</v>
      </c>
      <c r="D83" s="38">
        <v>4</v>
      </c>
      <c r="E83" s="38">
        <v>21</v>
      </c>
      <c r="F83" s="38">
        <v>5</v>
      </c>
      <c r="G83" s="38" t="s">
        <v>147</v>
      </c>
      <c r="H83" s="25">
        <v>10</v>
      </c>
      <c r="I83" s="25" t="s">
        <v>88</v>
      </c>
      <c r="J83" s="42" t="s">
        <v>153</v>
      </c>
      <c r="K83" s="590">
        <v>0</v>
      </c>
      <c r="L83" s="590">
        <v>110312960</v>
      </c>
      <c r="M83" s="590"/>
      <c r="N83" s="45"/>
      <c r="O83" s="45"/>
      <c r="P83" s="45"/>
      <c r="Q83" s="45">
        <f>SUM(N83+O83-P83)</f>
        <v>0</v>
      </c>
      <c r="R83" s="45"/>
      <c r="S83" s="45"/>
      <c r="T83" s="45"/>
      <c r="U83" s="45"/>
      <c r="V83" s="63"/>
      <c r="W83" s="63"/>
      <c r="X83" s="258">
        <f>SUM(U83)</f>
        <v>0</v>
      </c>
      <c r="Y83" s="270"/>
      <c r="Z83" s="63">
        <f>SUM(Q83-R83-T83-V83-W83-X83-Y83)</f>
        <v>0</v>
      </c>
      <c r="AA83" s="731"/>
      <c r="AB83" s="63"/>
      <c r="AC83" s="63">
        <f t="shared" si="35"/>
        <v>0</v>
      </c>
      <c r="AD83" s="270">
        <f>SUM(Z83-AB83)</f>
        <v>0</v>
      </c>
      <c r="AE83" s="270"/>
      <c r="AF83" s="270">
        <f>SUM(AD83-AE83)</f>
        <v>0</v>
      </c>
      <c r="AG83" s="644">
        <f>SUM(R83+T83+V83+Y83+W83+AB83)</f>
        <v>0</v>
      </c>
      <c r="AH83" s="271"/>
      <c r="AI83" s="272"/>
      <c r="AJ83" s="273"/>
      <c r="AK83" s="274" t="e">
        <f>SUM(AD83-AE83-#REF!-#REF!)</f>
        <v>#REF!</v>
      </c>
      <c r="AL83" s="275" t="e">
        <f>SUM(Q83-(AD83+X83))/Q83</f>
        <v>#DIV/0!</v>
      </c>
      <c r="AM83" s="175"/>
      <c r="AN83" s="262"/>
      <c r="AO83" s="276"/>
      <c r="AP83" s="77"/>
      <c r="AQ83" s="77"/>
      <c r="AR83" s="323"/>
      <c r="AU83" s="126"/>
    </row>
    <row r="84" spans="1:47" s="28" customFormat="1" ht="36" x14ac:dyDescent="0.35">
      <c r="A84" s="27" t="s">
        <v>100</v>
      </c>
      <c r="B84" s="38">
        <v>2</v>
      </c>
      <c r="C84" s="38">
        <v>0</v>
      </c>
      <c r="D84" s="38">
        <v>4</v>
      </c>
      <c r="E84" s="38">
        <v>21</v>
      </c>
      <c r="F84" s="38">
        <v>8</v>
      </c>
      <c r="G84" s="38" t="s">
        <v>147</v>
      </c>
      <c r="H84" s="25">
        <v>10</v>
      </c>
      <c r="I84" s="25" t="s">
        <v>88</v>
      </c>
      <c r="J84" s="42" t="s">
        <v>126</v>
      </c>
      <c r="K84" s="590">
        <v>14847202</v>
      </c>
      <c r="L84" s="590">
        <v>17200000</v>
      </c>
      <c r="M84" s="590">
        <v>15676513</v>
      </c>
      <c r="N84" s="635">
        <v>17000000</v>
      </c>
      <c r="O84" s="45"/>
      <c r="P84" s="45"/>
      <c r="Q84" s="45">
        <f>SUM(N84+O84-P84)</f>
        <v>17000000</v>
      </c>
      <c r="R84" s="45"/>
      <c r="S84" s="45"/>
      <c r="T84" s="45"/>
      <c r="U84" s="45"/>
      <c r="V84" s="63"/>
      <c r="W84" s="63"/>
      <c r="X84" s="258">
        <f>SUM(U84)</f>
        <v>0</v>
      </c>
      <c r="Y84" s="270"/>
      <c r="Z84" s="63">
        <f>SUM(Q84-R84-T84-V84-W84-X84-Y84)</f>
        <v>17000000</v>
      </c>
      <c r="AA84" s="731">
        <v>17000000</v>
      </c>
      <c r="AB84" s="63"/>
      <c r="AC84" s="63">
        <f t="shared" si="35"/>
        <v>17000000</v>
      </c>
      <c r="AD84" s="270">
        <f>SUM(Z84-AB84)</f>
        <v>17000000</v>
      </c>
      <c r="AE84" s="270">
        <v>17000000</v>
      </c>
      <c r="AF84" s="270">
        <f>SUM(AD84-AE84)</f>
        <v>0</v>
      </c>
      <c r="AG84" s="644">
        <f>SUM(R84+T84+V84+Y84+W84+AB84)</f>
        <v>0</v>
      </c>
      <c r="AH84" s="271">
        <f>AB84/(AB84+AE84+AF84)</f>
        <v>0</v>
      </c>
      <c r="AI84" s="272"/>
      <c r="AJ84" s="273"/>
      <c r="AK84" s="274" t="e">
        <f>SUM(AD84-AE84-#REF!-#REF!)</f>
        <v>#REF!</v>
      </c>
      <c r="AL84" s="275">
        <f>SUM(Q84-(AD84+X84))/Q84</f>
        <v>0</v>
      </c>
      <c r="AM84" s="175"/>
      <c r="AN84" s="262"/>
      <c r="AO84" s="276"/>
      <c r="AP84" s="77"/>
      <c r="AQ84" s="77"/>
      <c r="AR84" s="125"/>
      <c r="AU84" s="126"/>
    </row>
    <row r="85" spans="1:47" s="34" customFormat="1" ht="28.5" x14ac:dyDescent="0.35">
      <c r="A85" s="31"/>
      <c r="B85" s="32"/>
      <c r="C85" s="32"/>
      <c r="D85" s="32"/>
      <c r="E85" s="32"/>
      <c r="F85" s="32"/>
      <c r="G85" s="32"/>
      <c r="H85" s="33"/>
      <c r="I85" s="33"/>
      <c r="J85" s="35" t="s">
        <v>405</v>
      </c>
      <c r="K85" s="279">
        <f t="shared" ref="K85:Q85" si="42">SUM(K82:K84)</f>
        <v>32041202</v>
      </c>
      <c r="L85" s="279">
        <f t="shared" si="42"/>
        <v>146933810</v>
      </c>
      <c r="M85" s="279">
        <f t="shared" si="42"/>
        <v>28384729</v>
      </c>
      <c r="N85" s="280">
        <f t="shared" si="42"/>
        <v>47075000</v>
      </c>
      <c r="O85" s="280">
        <f t="shared" si="42"/>
        <v>0</v>
      </c>
      <c r="P85" s="280">
        <f t="shared" si="42"/>
        <v>0</v>
      </c>
      <c r="Q85" s="280">
        <f t="shared" si="42"/>
        <v>47075000</v>
      </c>
      <c r="R85" s="354"/>
      <c r="S85" s="354">
        <f t="shared" ref="S85:AF85" si="43">SUM(S82:S84)</f>
        <v>0</v>
      </c>
      <c r="T85" s="354">
        <f t="shared" si="43"/>
        <v>0</v>
      </c>
      <c r="U85" s="354">
        <f t="shared" si="43"/>
        <v>0</v>
      </c>
      <c r="V85" s="39">
        <f t="shared" si="43"/>
        <v>0</v>
      </c>
      <c r="W85" s="39">
        <f t="shared" si="43"/>
        <v>0</v>
      </c>
      <c r="X85" s="339">
        <f t="shared" si="43"/>
        <v>0</v>
      </c>
      <c r="Y85" s="39">
        <f t="shared" si="43"/>
        <v>0</v>
      </c>
      <c r="Z85" s="39">
        <f t="shared" si="43"/>
        <v>47075000</v>
      </c>
      <c r="AA85" s="39">
        <f t="shared" si="43"/>
        <v>47075000</v>
      </c>
      <c r="AB85" s="39">
        <f t="shared" si="43"/>
        <v>0</v>
      </c>
      <c r="AC85" s="39">
        <f t="shared" si="43"/>
        <v>47075000</v>
      </c>
      <c r="AD85" s="39">
        <f t="shared" si="43"/>
        <v>47075000</v>
      </c>
      <c r="AE85" s="39">
        <f t="shared" si="43"/>
        <v>47075000</v>
      </c>
      <c r="AF85" s="39">
        <f t="shared" si="43"/>
        <v>0</v>
      </c>
      <c r="AG85" s="366"/>
      <c r="AH85" s="294">
        <f>SUM(AB85/Z85)</f>
        <v>0</v>
      </c>
      <c r="AI85" s="39"/>
      <c r="AJ85" s="39"/>
      <c r="AK85" s="285" t="e">
        <f>SUM(AD85-AE85-#REF!-#REF!)</f>
        <v>#REF!</v>
      </c>
      <c r="AL85" s="286">
        <f>SUM(Q85-(AD85+X85))/Q85</f>
        <v>0</v>
      </c>
      <c r="AM85" s="208"/>
      <c r="AN85" s="287"/>
      <c r="AO85" s="288"/>
      <c r="AP85" s="289"/>
      <c r="AQ85" s="289"/>
      <c r="AR85" s="290"/>
      <c r="AU85" s="291"/>
    </row>
    <row r="86" spans="1:47" s="120" customFormat="1" ht="51" customHeight="1" x14ac:dyDescent="0.35">
      <c r="A86" s="356"/>
      <c r="B86" s="794" t="s">
        <v>406</v>
      </c>
      <c r="C86" s="795"/>
      <c r="D86" s="795"/>
      <c r="E86" s="795"/>
      <c r="F86" s="795"/>
      <c r="G86" s="795"/>
      <c r="H86" s="795"/>
      <c r="I86" s="795"/>
      <c r="J86" s="796"/>
      <c r="K86" s="590"/>
      <c r="L86" s="590"/>
      <c r="M86" s="590"/>
      <c r="N86" s="45"/>
      <c r="O86" s="45"/>
      <c r="P86" s="45"/>
      <c r="Q86" s="45"/>
      <c r="R86" s="45"/>
      <c r="S86" s="45"/>
      <c r="T86" s="45"/>
      <c r="U86" s="45"/>
      <c r="V86" s="63"/>
      <c r="W86" s="63"/>
      <c r="X86" s="367"/>
      <c r="Y86" s="368"/>
      <c r="Z86" s="63">
        <v>0</v>
      </c>
      <c r="AA86" s="63"/>
      <c r="AB86" s="63"/>
      <c r="AC86" s="63"/>
      <c r="AD86" s="368"/>
      <c r="AE86" s="368"/>
      <c r="AF86" s="368"/>
      <c r="AG86" s="646"/>
      <c r="AH86" s="271"/>
      <c r="AI86" s="272"/>
      <c r="AJ86" s="273"/>
      <c r="AK86" s="274"/>
      <c r="AL86" s="275"/>
      <c r="AM86" s="175"/>
      <c r="AN86" s="333"/>
      <c r="AO86" s="276"/>
      <c r="AP86" s="77"/>
      <c r="AQ86" s="77"/>
      <c r="AR86" s="185"/>
      <c r="AU86" s="186"/>
    </row>
    <row r="87" spans="1:47" s="120" customFormat="1" ht="51" customHeight="1" x14ac:dyDescent="0.35">
      <c r="A87" s="369"/>
      <c r="B87" s="26">
        <v>2</v>
      </c>
      <c r="C87" s="26">
        <v>0</v>
      </c>
      <c r="D87" s="26">
        <v>4</v>
      </c>
      <c r="E87" s="26">
        <v>41</v>
      </c>
      <c r="F87" s="26">
        <v>13</v>
      </c>
      <c r="G87" s="26"/>
      <c r="H87" s="26">
        <v>10</v>
      </c>
      <c r="I87" s="26" t="s">
        <v>88</v>
      </c>
      <c r="J87" s="36" t="s">
        <v>406</v>
      </c>
      <c r="K87" s="590"/>
      <c r="L87" s="590"/>
      <c r="M87" s="590"/>
      <c r="N87" s="45">
        <v>1400000</v>
      </c>
      <c r="O87" s="45"/>
      <c r="P87" s="45"/>
      <c r="Q87" s="45">
        <f>SUM(N87+O87-P87)</f>
        <v>1400000</v>
      </c>
      <c r="R87" s="45"/>
      <c r="S87" s="45"/>
      <c r="T87" s="45"/>
      <c r="U87" s="45"/>
      <c r="V87" s="63">
        <v>1400000</v>
      </c>
      <c r="W87" s="63"/>
      <c r="X87" s="258">
        <f>SUM(U87)</f>
        <v>0</v>
      </c>
      <c r="Y87" s="368"/>
      <c r="Z87" s="63">
        <f>SUM(Q87-R87-T87-V87-W87-X87-Y87)</f>
        <v>0</v>
      </c>
      <c r="AA87" s="63"/>
      <c r="AB87" s="63"/>
      <c r="AC87" s="63">
        <f>SUM(AA87-AB87)</f>
        <v>0</v>
      </c>
      <c r="AD87" s="368">
        <f>SUM(Z87-AB87)</f>
        <v>0</v>
      </c>
      <c r="AE87" s="368"/>
      <c r="AF87" s="270">
        <f>SUM(AD87-AE87)</f>
        <v>0</v>
      </c>
      <c r="AG87" s="644">
        <f>SUM(R87+T87+V87+Y87+W87+AB87)</f>
        <v>1400000</v>
      </c>
      <c r="AH87" s="271"/>
      <c r="AI87" s="272"/>
      <c r="AJ87" s="273"/>
      <c r="AK87" s="274" t="e">
        <f>SUM(AD87-AE87-#REF!-#REF!)</f>
        <v>#REF!</v>
      </c>
      <c r="AL87" s="275">
        <f t="shared" ref="AL87:AL92" si="44">SUM(Q87-(AD87+X87))/Q87</f>
        <v>1</v>
      </c>
      <c r="AM87" s="175"/>
      <c r="AN87" s="370"/>
      <c r="AO87" s="276"/>
      <c r="AP87" s="77"/>
      <c r="AQ87" s="77"/>
      <c r="AR87" s="185"/>
      <c r="AU87" s="186"/>
    </row>
    <row r="88" spans="1:47" s="120" customFormat="1" ht="51" customHeight="1" x14ac:dyDescent="0.35">
      <c r="A88" s="369"/>
      <c r="B88" s="32"/>
      <c r="C88" s="32"/>
      <c r="D88" s="32"/>
      <c r="E88" s="32"/>
      <c r="F88" s="32"/>
      <c r="G88" s="32"/>
      <c r="H88" s="33"/>
      <c r="I88" s="33"/>
      <c r="J88" s="35" t="s">
        <v>407</v>
      </c>
      <c r="K88" s="279"/>
      <c r="L88" s="279"/>
      <c r="M88" s="279"/>
      <c r="N88" s="371">
        <f>SUM(N87)</f>
        <v>1400000</v>
      </c>
      <c r="O88" s="371"/>
      <c r="P88" s="371">
        <f>SUM(P87)</f>
        <v>0</v>
      </c>
      <c r="Q88" s="371">
        <f>SUM(Q87)</f>
        <v>1400000</v>
      </c>
      <c r="R88" s="372"/>
      <c r="S88" s="372"/>
      <c r="T88" s="372"/>
      <c r="U88" s="372"/>
      <c r="V88" s="39">
        <f>SUM(V87)</f>
        <v>1400000</v>
      </c>
      <c r="W88" s="39">
        <f t="shared" ref="W88:AF88" si="45">SUM(W87)</f>
        <v>0</v>
      </c>
      <c r="X88" s="339">
        <f t="shared" si="45"/>
        <v>0</v>
      </c>
      <c r="Y88" s="39">
        <f t="shared" si="45"/>
        <v>0</v>
      </c>
      <c r="Z88" s="39">
        <f t="shared" si="45"/>
        <v>0</v>
      </c>
      <c r="AA88" s="39">
        <f t="shared" si="45"/>
        <v>0</v>
      </c>
      <c r="AB88" s="39">
        <f t="shared" si="45"/>
        <v>0</v>
      </c>
      <c r="AC88" s="39">
        <f t="shared" si="45"/>
        <v>0</v>
      </c>
      <c r="AD88" s="39">
        <f t="shared" si="45"/>
        <v>0</v>
      </c>
      <c r="AE88" s="39">
        <f t="shared" si="45"/>
        <v>0</v>
      </c>
      <c r="AF88" s="39">
        <f t="shared" si="45"/>
        <v>0</v>
      </c>
      <c r="AG88" s="366"/>
      <c r="AH88" s="373"/>
      <c r="AI88" s="39"/>
      <c r="AJ88" s="39"/>
      <c r="AK88" s="374"/>
      <c r="AL88" s="375">
        <f t="shared" si="44"/>
        <v>1</v>
      </c>
      <c r="AM88" s="208"/>
      <c r="AN88" s="287"/>
      <c r="AO88" s="288"/>
      <c r="AP88" s="289"/>
      <c r="AQ88" s="289"/>
      <c r="AR88" s="185"/>
      <c r="AU88" s="186"/>
    </row>
    <row r="89" spans="1:47" s="28" customFormat="1" ht="29.25" customHeight="1" x14ac:dyDescent="0.35">
      <c r="A89" s="27"/>
      <c r="B89" s="26"/>
      <c r="C89" s="26"/>
      <c r="D89" s="26"/>
      <c r="E89" s="26"/>
      <c r="F89" s="26"/>
      <c r="G89" s="26"/>
      <c r="H89" s="26"/>
      <c r="I89" s="26"/>
      <c r="J89" s="36" t="s">
        <v>408</v>
      </c>
      <c r="K89" s="376"/>
      <c r="L89" s="376"/>
      <c r="M89" s="376"/>
      <c r="N89" s="377">
        <f>SUM(N22+N25+N36+N45+N51+N57+N63+N70+N74+N80+N85+N86+N88)</f>
        <v>2601173403</v>
      </c>
      <c r="O89" s="377">
        <f>SUM(O22+O25+O36+O45+O51+O57+O63+O70+O74+O80+O85+O86+O88)</f>
        <v>3386000</v>
      </c>
      <c r="P89" s="377">
        <f>SUM(P22+P25+P36+P45+P51+P57+P63+P70+P74+P80+P85+P86+P88)</f>
        <v>277186000</v>
      </c>
      <c r="Q89" s="377">
        <f>SUM(Q22+Q25+Q36+Q45+Q51+Q57+Q63+Q70+Q74+Q80+Q85+Q86+Q88)</f>
        <v>2327373403</v>
      </c>
      <c r="R89" s="378">
        <f>SUM(R22+R25+R36+R45+R51+R57+R63+R70+R74+R80+R85)</f>
        <v>12000000</v>
      </c>
      <c r="S89" s="378">
        <f>SUM(S22+S25+S36+S45+S51+S57+S63+S70+S74+S80+S85)</f>
        <v>52713566</v>
      </c>
      <c r="T89" s="378">
        <f>SUM(T22+T25+T36+T45+T51+T57+T63+T70+T74+T80+T85)</f>
        <v>2427302</v>
      </c>
      <c r="U89" s="378">
        <f>SUM(U22+U25+U36+U45+U51+U57+U63+U70+U74+U80+U85)</f>
        <v>50286264</v>
      </c>
      <c r="V89" s="351">
        <f>SUM(V22+V25+V36+V45+V51+V57+V70+V74+V80+V85+V86)</f>
        <v>7364434</v>
      </c>
      <c r="W89" s="351">
        <f>SUM(W22+W25+W36+W45+W51+W57+W70+W74+W80+W85+W86)</f>
        <v>825212858.00999999</v>
      </c>
      <c r="X89" s="379">
        <f>SUM(X22+X25+X36+X45+X51+X57+X70+X74+X80+X85+X86)</f>
        <v>50286264</v>
      </c>
      <c r="Y89" s="351">
        <f>SUM(Y22+Y25+Y36+Y45+Y51+Y57+Y70+Y74+Y80+Y85+Y86)</f>
        <v>0</v>
      </c>
      <c r="Z89" s="351">
        <f>SUM(Z22+Z25+Z36+Z45+Z51+Z57+Z70+Z74+Z80+Z85+Z86)</f>
        <v>1157682544.99</v>
      </c>
      <c r="AA89" s="351">
        <f t="shared" ref="AA89:AF89" si="46">SUM(AA22+AA25+AA36+AA45+AA51+AA57+AA70+AA74+AA80+AA85+AA86)</f>
        <v>628938009</v>
      </c>
      <c r="AB89" s="351">
        <f t="shared" si="46"/>
        <v>85195066</v>
      </c>
      <c r="AC89" s="351">
        <f t="shared" si="46"/>
        <v>550231149</v>
      </c>
      <c r="AD89" s="351">
        <f t="shared" si="46"/>
        <v>1072487478.99</v>
      </c>
      <c r="AE89" s="351">
        <f t="shared" si="46"/>
        <v>541427827</v>
      </c>
      <c r="AF89" s="351">
        <f t="shared" si="46"/>
        <v>531059651.99000001</v>
      </c>
      <c r="AG89" s="647">
        <f>SUM(R89+T89+V89+Y89+W89+AB89)</f>
        <v>932199660.00999999</v>
      </c>
      <c r="AH89" s="380">
        <f>AB89/(AB89+AE89+AF89)</f>
        <v>7.3591043044305304E-2</v>
      </c>
      <c r="AI89" s="381"/>
      <c r="AJ89" s="382"/>
      <c r="AK89" s="383" t="e">
        <f>SUM(AD89-AE89-#REF!-#REF!)</f>
        <v>#REF!</v>
      </c>
      <c r="AL89" s="384">
        <f t="shared" si="44"/>
        <v>0.51757902640687692</v>
      </c>
      <c r="AM89" s="385"/>
      <c r="AN89" s="262"/>
      <c r="AO89" s="276"/>
      <c r="AP89" s="77"/>
      <c r="AQ89" s="77"/>
      <c r="AR89" s="125"/>
      <c r="AU89" s="126"/>
    </row>
    <row r="90" spans="1:47" s="28" customFormat="1" ht="30" x14ac:dyDescent="0.35">
      <c r="A90" s="27"/>
      <c r="B90" s="26"/>
      <c r="C90" s="26"/>
      <c r="D90" s="26"/>
      <c r="E90" s="26"/>
      <c r="F90" s="26"/>
      <c r="G90" s="26"/>
      <c r="H90" s="26"/>
      <c r="I90" s="26"/>
      <c r="J90" s="36" t="s">
        <v>409</v>
      </c>
      <c r="K90" s="376"/>
      <c r="L90" s="376"/>
      <c r="M90" s="376"/>
      <c r="N90" s="377">
        <f>SUM(N8)</f>
        <v>124423893</v>
      </c>
      <c r="O90" s="377">
        <f>SUM(O8)</f>
        <v>265300000</v>
      </c>
      <c r="P90" s="377">
        <f>SUM(P8)</f>
        <v>0</v>
      </c>
      <c r="Q90" s="377">
        <f>SUM(Q8)</f>
        <v>389723893</v>
      </c>
      <c r="R90" s="378"/>
      <c r="S90" s="378">
        <f t="shared" ref="S90:AF90" si="47">SUM(S8)</f>
        <v>0</v>
      </c>
      <c r="T90" s="378">
        <f t="shared" si="47"/>
        <v>0</v>
      </c>
      <c r="U90" s="378">
        <f t="shared" si="47"/>
        <v>0</v>
      </c>
      <c r="V90" s="351">
        <f t="shared" si="47"/>
        <v>1500000</v>
      </c>
      <c r="W90" s="351">
        <f t="shared" si="47"/>
        <v>6961500</v>
      </c>
      <c r="X90" s="379">
        <f t="shared" si="47"/>
        <v>0</v>
      </c>
      <c r="Y90" s="351">
        <f t="shared" si="47"/>
        <v>0</v>
      </c>
      <c r="Z90" s="351">
        <f t="shared" si="47"/>
        <v>381762393</v>
      </c>
      <c r="AA90" s="351">
        <f t="shared" si="47"/>
        <v>374282684</v>
      </c>
      <c r="AB90" s="351">
        <f t="shared" si="47"/>
        <v>91720200</v>
      </c>
      <c r="AC90" s="351">
        <f t="shared" si="47"/>
        <v>282562484</v>
      </c>
      <c r="AD90" s="351">
        <f t="shared" si="47"/>
        <v>290042193</v>
      </c>
      <c r="AE90" s="351">
        <f t="shared" si="47"/>
        <v>282562484</v>
      </c>
      <c r="AF90" s="351">
        <f t="shared" si="47"/>
        <v>7479709</v>
      </c>
      <c r="AG90" s="647">
        <f>SUM(R90+T90+V90+Y90+W90+AB90)</f>
        <v>100181700</v>
      </c>
      <c r="AH90" s="380">
        <f>AB90/(AB90+AE90+AF90)</f>
        <v>0.24025467589731919</v>
      </c>
      <c r="AI90" s="381"/>
      <c r="AJ90" s="382"/>
      <c r="AK90" s="383" t="e">
        <f>SUM(AD90-AE90-#REF!-#REF!)</f>
        <v>#REF!</v>
      </c>
      <c r="AL90" s="384">
        <f t="shared" si="44"/>
        <v>0.25577518286773349</v>
      </c>
      <c r="AM90" s="385"/>
      <c r="AN90" s="262"/>
      <c r="AO90" s="276"/>
      <c r="AP90" s="77"/>
      <c r="AQ90" s="77"/>
      <c r="AR90" s="125"/>
      <c r="AU90" s="126"/>
    </row>
    <row r="91" spans="1:47" s="28" customFormat="1" x14ac:dyDescent="0.35">
      <c r="A91" s="27"/>
      <c r="B91" s="26"/>
      <c r="C91" s="26"/>
      <c r="D91" s="26"/>
      <c r="E91" s="26"/>
      <c r="F91" s="26"/>
      <c r="G91" s="26"/>
      <c r="H91" s="26"/>
      <c r="I91" s="26"/>
      <c r="J91" s="36" t="s">
        <v>410</v>
      </c>
      <c r="K91" s="376"/>
      <c r="L91" s="376"/>
      <c r="M91" s="376"/>
      <c r="N91" s="377">
        <f t="shared" ref="N91:AF91" si="48">SUM(N13)</f>
        <v>29870000</v>
      </c>
      <c r="O91" s="377">
        <f t="shared" si="48"/>
        <v>8500000</v>
      </c>
      <c r="P91" s="377">
        <f t="shared" si="48"/>
        <v>0</v>
      </c>
      <c r="Q91" s="377">
        <f t="shared" si="48"/>
        <v>38370000</v>
      </c>
      <c r="R91" s="378">
        <f t="shared" si="48"/>
        <v>0</v>
      </c>
      <c r="S91" s="378">
        <f t="shared" si="48"/>
        <v>0</v>
      </c>
      <c r="T91" s="378">
        <f t="shared" si="48"/>
        <v>0</v>
      </c>
      <c r="U91" s="378">
        <f t="shared" si="48"/>
        <v>0</v>
      </c>
      <c r="V91" s="351">
        <f t="shared" si="48"/>
        <v>29870000</v>
      </c>
      <c r="W91" s="351">
        <f t="shared" si="48"/>
        <v>0</v>
      </c>
      <c r="X91" s="379">
        <f t="shared" si="48"/>
        <v>0</v>
      </c>
      <c r="Y91" s="351">
        <f t="shared" si="48"/>
        <v>0</v>
      </c>
      <c r="Z91" s="351">
        <f t="shared" si="48"/>
        <v>8500000</v>
      </c>
      <c r="AA91" s="351">
        <f t="shared" si="48"/>
        <v>0</v>
      </c>
      <c r="AB91" s="351">
        <f t="shared" si="48"/>
        <v>0</v>
      </c>
      <c r="AC91" s="351">
        <f t="shared" si="48"/>
        <v>0</v>
      </c>
      <c r="AD91" s="351">
        <f t="shared" si="48"/>
        <v>8500000</v>
      </c>
      <c r="AE91" s="351">
        <f t="shared" si="48"/>
        <v>0</v>
      </c>
      <c r="AF91" s="351">
        <f t="shared" si="48"/>
        <v>8500000</v>
      </c>
      <c r="AG91" s="647">
        <f>SUM(R91+T91+V91+Y91+W91+AB91)</f>
        <v>29870000</v>
      </c>
      <c r="AH91" s="380"/>
      <c r="AI91" s="381"/>
      <c r="AJ91" s="382"/>
      <c r="AK91" s="383" t="e">
        <f>SUM(AD91-AE91-#REF!-#REF!)</f>
        <v>#REF!</v>
      </c>
      <c r="AL91" s="384">
        <f t="shared" si="44"/>
        <v>0.77847276518113107</v>
      </c>
      <c r="AM91" s="385"/>
      <c r="AN91" s="262"/>
      <c r="AO91" s="276"/>
      <c r="AP91" s="77"/>
      <c r="AQ91" s="77"/>
      <c r="AR91" s="125"/>
      <c r="AU91" s="126"/>
    </row>
    <row r="92" spans="1:47" s="28" customFormat="1" x14ac:dyDescent="0.35">
      <c r="A92" s="27"/>
      <c r="B92" s="26"/>
      <c r="C92" s="26"/>
      <c r="D92" s="26"/>
      <c r="E92" s="26"/>
      <c r="F92" s="26"/>
      <c r="G92" s="26"/>
      <c r="H92" s="26"/>
      <c r="I92" s="26"/>
      <c r="J92" s="36" t="s">
        <v>411</v>
      </c>
      <c r="K92" s="376"/>
      <c r="L92" s="376"/>
      <c r="M92" s="376"/>
      <c r="N92" s="377">
        <f>SUM(N89:N91)</f>
        <v>2755467296</v>
      </c>
      <c r="O92" s="377">
        <f>SUM(O89:O91)</f>
        <v>277186000</v>
      </c>
      <c r="P92" s="377">
        <f>SUM(P89:P91)</f>
        <v>277186000</v>
      </c>
      <c r="Q92" s="377">
        <f>SUM(Q89:Q91)</f>
        <v>2755467296</v>
      </c>
      <c r="R92" s="378"/>
      <c r="S92" s="378">
        <f t="shared" ref="S92:AE92" si="49">SUM(S89:S91)</f>
        <v>52713566</v>
      </c>
      <c r="T92" s="378">
        <f t="shared" si="49"/>
        <v>2427302</v>
      </c>
      <c r="U92" s="378">
        <f t="shared" si="49"/>
        <v>50286264</v>
      </c>
      <c r="V92" s="351">
        <f t="shared" si="49"/>
        <v>38734434</v>
      </c>
      <c r="W92" s="351">
        <f t="shared" si="49"/>
        <v>832174358.00999999</v>
      </c>
      <c r="X92" s="379">
        <f t="shared" si="49"/>
        <v>50286264</v>
      </c>
      <c r="Y92" s="351">
        <f t="shared" si="49"/>
        <v>0</v>
      </c>
      <c r="Z92" s="351">
        <f t="shared" si="49"/>
        <v>1547944937.99</v>
      </c>
      <c r="AA92" s="351">
        <f t="shared" si="49"/>
        <v>1003220693</v>
      </c>
      <c r="AB92" s="351">
        <f>SUM(AB89:AB91)</f>
        <v>176915266</v>
      </c>
      <c r="AC92" s="351">
        <f t="shared" si="49"/>
        <v>832793633</v>
      </c>
      <c r="AD92" s="351">
        <f t="shared" si="49"/>
        <v>1371029671.99</v>
      </c>
      <c r="AE92" s="351">
        <f t="shared" si="49"/>
        <v>823990311</v>
      </c>
      <c r="AF92" s="351">
        <f>SUM(AD92-AE92)</f>
        <v>547039360.99000001</v>
      </c>
      <c r="AG92" s="647">
        <f>SUM(AG89:AG91)</f>
        <v>1062251360.01</v>
      </c>
      <c r="AH92" s="380">
        <f>AB92/(AB92+AE92+AF92)</f>
        <v>0.11429041282936313</v>
      </c>
      <c r="AI92" s="381"/>
      <c r="AJ92" s="382"/>
      <c r="AK92" s="383" t="e">
        <f>SUM(AD92-AE92-#REF!-#REF!)</f>
        <v>#REF!</v>
      </c>
      <c r="AL92" s="384">
        <f t="shared" si="44"/>
        <v>0.48418334049790152</v>
      </c>
      <c r="AM92" s="385"/>
      <c r="AN92" s="262"/>
      <c r="AO92" s="263"/>
      <c r="AP92" s="77"/>
      <c r="AQ92" s="77"/>
      <c r="AR92" s="125"/>
      <c r="AU92" s="126"/>
    </row>
    <row r="93" spans="1:47" s="28" customFormat="1" ht="27" customHeight="1" x14ac:dyDescent="0.35">
      <c r="A93" s="386"/>
      <c r="B93" s="864" t="s">
        <v>350</v>
      </c>
      <c r="C93" s="865"/>
      <c r="D93" s="865"/>
      <c r="E93" s="865"/>
      <c r="F93" s="865"/>
      <c r="G93" s="865"/>
      <c r="H93" s="865"/>
      <c r="I93" s="866"/>
      <c r="J93" s="35"/>
      <c r="K93" s="279"/>
      <c r="L93" s="279"/>
      <c r="M93" s="854" t="s">
        <v>412</v>
      </c>
      <c r="N93" s="371"/>
      <c r="O93" s="371"/>
      <c r="P93" s="371"/>
      <c r="Q93" s="371">
        <f>SUM(N89+O89-P89)</f>
        <v>2327373403</v>
      </c>
      <c r="R93" s="387"/>
      <c r="S93" s="387"/>
      <c r="T93" s="387"/>
      <c r="U93" s="387">
        <f>SUM(S92-T92)</f>
        <v>50286264</v>
      </c>
      <c r="V93" s="388">
        <f>SUM(V92)</f>
        <v>38734434</v>
      </c>
      <c r="W93" s="371"/>
      <c r="X93" s="389"/>
      <c r="Y93" s="390"/>
      <c r="Z93" s="391">
        <f>SUM(Q89-R89-T89-V89-W89-X89-Y89)</f>
        <v>1430082544.99</v>
      </c>
      <c r="AA93" s="392"/>
      <c r="AB93" s="391"/>
      <c r="AC93" s="391">
        <f>SUM(AA92-AB92)</f>
        <v>826305427</v>
      </c>
      <c r="AD93" s="390">
        <f>(Z89-AB89)</f>
        <v>1072487478.99</v>
      </c>
      <c r="AE93" s="390">
        <f>SUM(AE8+AE22+AE36+AE45+AE51+AE57+AE70+AE80+AE85)</f>
        <v>803990311</v>
      </c>
      <c r="AF93" s="390"/>
      <c r="AG93" s="393"/>
      <c r="AH93" s="394"/>
      <c r="AI93" s="395"/>
      <c r="AJ93" s="396"/>
      <c r="AK93" s="397" t="e">
        <f>SUM(AD93-AE93-#REF!-#REF!)</f>
        <v>#REF!</v>
      </c>
      <c r="AL93" s="394"/>
      <c r="AM93" s="175"/>
      <c r="AN93" s="398"/>
      <c r="AO93" s="399"/>
      <c r="AP93" s="400"/>
      <c r="AQ93" s="401"/>
      <c r="AR93" s="125"/>
      <c r="AU93" s="126"/>
    </row>
    <row r="94" spans="1:47" s="28" customFormat="1" ht="17.25" customHeight="1" x14ac:dyDescent="0.35">
      <c r="A94" s="386"/>
      <c r="B94" s="867"/>
      <c r="C94" s="868"/>
      <c r="D94" s="868"/>
      <c r="E94" s="868"/>
      <c r="F94" s="868"/>
      <c r="G94" s="868"/>
      <c r="H94" s="868"/>
      <c r="I94" s="869"/>
      <c r="J94" s="35"/>
      <c r="K94" s="279"/>
      <c r="L94" s="279"/>
      <c r="M94" s="854"/>
      <c r="N94" s="371"/>
      <c r="O94" s="371"/>
      <c r="P94" s="371"/>
      <c r="Q94" s="371">
        <f>SUM(N90+O90-P90)</f>
        <v>389723893</v>
      </c>
      <c r="R94" s="387"/>
      <c r="S94" s="387"/>
      <c r="T94" s="387"/>
      <c r="U94" s="387"/>
      <c r="V94" s="388"/>
      <c r="W94" s="371"/>
      <c r="X94" s="402"/>
      <c r="Y94" s="403"/>
      <c r="Z94" s="391">
        <f>SUM(Q90-R90-T90-V90-W90-X90-Y90)</f>
        <v>381262393</v>
      </c>
      <c r="AA94" s="392"/>
      <c r="AB94" s="391"/>
      <c r="AC94" s="391"/>
      <c r="AD94" s="390">
        <f>SUM(Z90-AB90)</f>
        <v>290042193</v>
      </c>
      <c r="AE94" s="404"/>
      <c r="AF94" s="403"/>
      <c r="AG94" s="405"/>
      <c r="AH94" s="406"/>
      <c r="AI94" s="407"/>
      <c r="AJ94" s="396"/>
      <c r="AK94" s="397" t="e">
        <f>SUM(AD94-AE94-#REF!-#REF!)</f>
        <v>#REF!</v>
      </c>
      <c r="AL94" s="408"/>
      <c r="AM94" s="409"/>
      <c r="AN94" s="398"/>
      <c r="AO94" s="396"/>
      <c r="AP94" s="401"/>
      <c r="AQ94" s="401"/>
      <c r="AR94" s="125"/>
      <c r="AU94" s="126"/>
    </row>
    <row r="95" spans="1:47" s="28" customFormat="1" ht="17.25" customHeight="1" x14ac:dyDescent="0.35">
      <c r="A95" s="386"/>
      <c r="B95" s="870"/>
      <c r="C95" s="871"/>
      <c r="D95" s="871"/>
      <c r="E95" s="871"/>
      <c r="F95" s="871"/>
      <c r="G95" s="871"/>
      <c r="H95" s="871"/>
      <c r="I95" s="872"/>
      <c r="J95" s="35"/>
      <c r="K95" s="279"/>
      <c r="L95" s="279"/>
      <c r="M95" s="854"/>
      <c r="N95" s="371"/>
      <c r="O95" s="371"/>
      <c r="P95" s="371">
        <f>SUM(N92+O92-P92)</f>
        <v>2755467296</v>
      </c>
      <c r="Q95" s="371">
        <f>SUM(N91+O91-P91)</f>
        <v>38370000</v>
      </c>
      <c r="R95" s="387"/>
      <c r="S95" s="387"/>
      <c r="T95" s="387"/>
      <c r="U95" s="387"/>
      <c r="V95" s="388"/>
      <c r="W95" s="371"/>
      <c r="X95" s="402"/>
      <c r="Y95" s="403"/>
      <c r="Z95" s="391">
        <f>SUM(Q91-R91-T91-V91-W91-X91-Y91)</f>
        <v>8500000</v>
      </c>
      <c r="AA95" s="392"/>
      <c r="AB95" s="391"/>
      <c r="AC95" s="391"/>
      <c r="AD95" s="390">
        <f>SUM(Z91-AB91)</f>
        <v>8500000</v>
      </c>
      <c r="AE95" s="404" t="e">
        <f>SUM(Z91-AB91-#REF!)</f>
        <v>#REF!</v>
      </c>
      <c r="AF95" s="403"/>
      <c r="AG95" s="405"/>
      <c r="AH95" s="406"/>
      <c r="AI95" s="407"/>
      <c r="AJ95" s="396"/>
      <c r="AK95" s="397" t="e">
        <f>SUM(AD95-AE95-#REF!-#REF!)</f>
        <v>#REF!</v>
      </c>
      <c r="AL95" s="408"/>
      <c r="AM95" s="409"/>
      <c r="AN95" s="398"/>
      <c r="AO95" s="396"/>
      <c r="AP95" s="401"/>
      <c r="AQ95" s="401"/>
      <c r="AR95" s="125"/>
      <c r="AU95" s="126"/>
    </row>
    <row r="96" spans="1:47" s="428" customFormat="1" ht="26.25" x14ac:dyDescent="0.35">
      <c r="A96" s="410"/>
      <c r="B96" s="411"/>
      <c r="C96" s="411"/>
      <c r="D96" s="411"/>
      <c r="E96" s="411"/>
      <c r="F96" s="411"/>
      <c r="G96" s="411"/>
      <c r="H96" s="411"/>
      <c r="I96" s="411"/>
      <c r="J96" s="412" t="s">
        <v>413</v>
      </c>
      <c r="K96" s="413"/>
      <c r="L96" s="413"/>
      <c r="M96" s="413"/>
      <c r="N96" s="414">
        <f t="shared" ref="N96:AB96" si="50">SUM(N13+N89)</f>
        <v>2631043403</v>
      </c>
      <c r="O96" s="414">
        <f t="shared" si="50"/>
        <v>11886000</v>
      </c>
      <c r="P96" s="414">
        <f t="shared" si="50"/>
        <v>277186000</v>
      </c>
      <c r="Q96" s="414">
        <f t="shared" si="50"/>
        <v>2365743403</v>
      </c>
      <c r="R96" s="414">
        <f t="shared" si="50"/>
        <v>12000000</v>
      </c>
      <c r="S96" s="414">
        <f t="shared" si="50"/>
        <v>52713566</v>
      </c>
      <c r="T96" s="414">
        <f t="shared" si="50"/>
        <v>2427302</v>
      </c>
      <c r="U96" s="414">
        <f t="shared" si="50"/>
        <v>50286264</v>
      </c>
      <c r="V96" s="414">
        <f t="shared" si="50"/>
        <v>37234434</v>
      </c>
      <c r="W96" s="414">
        <f t="shared" si="50"/>
        <v>825212858.00999999</v>
      </c>
      <c r="X96" s="415">
        <f t="shared" si="50"/>
        <v>50286264</v>
      </c>
      <c r="Y96" s="416">
        <f t="shared" si="50"/>
        <v>0</v>
      </c>
      <c r="Z96" s="416">
        <f t="shared" si="50"/>
        <v>1166182544.99</v>
      </c>
      <c r="AA96" s="416">
        <f t="shared" si="50"/>
        <v>628938009</v>
      </c>
      <c r="AB96" s="416">
        <f t="shared" si="50"/>
        <v>85195066</v>
      </c>
      <c r="AC96" s="416"/>
      <c r="AD96" s="417">
        <f>SUM(Z96-AB96)</f>
        <v>1080987478.99</v>
      </c>
      <c r="AE96" s="416">
        <f>SUM(AE13+AE89)</f>
        <v>541427827</v>
      </c>
      <c r="AF96" s="416">
        <f>SUM(AF13+AF89)</f>
        <v>539559651.99000001</v>
      </c>
      <c r="AG96" s="418"/>
      <c r="AH96" s="419">
        <f>AB96/(AB96+AE96+AF96)</f>
        <v>7.3054657151235741E-2</v>
      </c>
      <c r="AI96" s="420"/>
      <c r="AJ96" s="421"/>
      <c r="AK96" s="422" t="e">
        <f>SUM(AD96-AE96-#REF!-#REF!)</f>
        <v>#REF!</v>
      </c>
      <c r="AL96" s="423">
        <f>SUM(Q96-(AD96+X96))/Q96</f>
        <v>0.52181046281036592</v>
      </c>
      <c r="AM96" s="123"/>
      <c r="AN96" s="424"/>
      <c r="AO96" s="425" t="s">
        <v>414</v>
      </c>
      <c r="AP96" s="426">
        <f>SUM(AP6:AP95)</f>
        <v>11500000</v>
      </c>
      <c r="AQ96" s="426">
        <f>SUM(AQ6:AQ95)</f>
        <v>205644070</v>
      </c>
      <c r="AR96" s="427">
        <f>SUM(AQ96-AP96)</f>
        <v>194144070</v>
      </c>
      <c r="AU96" s="429"/>
    </row>
    <row r="97" spans="1:47" s="440" customFormat="1" ht="57.75" customHeight="1" x14ac:dyDescent="0.35">
      <c r="A97" s="430"/>
      <c r="B97" s="794" t="s">
        <v>415</v>
      </c>
      <c r="C97" s="795"/>
      <c r="D97" s="795"/>
      <c r="E97" s="795"/>
      <c r="F97" s="795"/>
      <c r="G97" s="795"/>
      <c r="H97" s="795"/>
      <c r="I97" s="795"/>
      <c r="J97" s="795"/>
      <c r="K97" s="376"/>
      <c r="L97" s="376"/>
      <c r="M97" s="376"/>
      <c r="N97" s="377"/>
      <c r="O97" s="377"/>
      <c r="P97" s="377"/>
      <c r="Q97" s="377"/>
      <c r="R97" s="377"/>
      <c r="S97" s="377"/>
      <c r="T97" s="377"/>
      <c r="U97" s="377"/>
      <c r="V97" s="377"/>
      <c r="W97" s="377"/>
      <c r="X97" s="431"/>
      <c r="Y97" s="432"/>
      <c r="Z97" s="433"/>
      <c r="AA97" s="433"/>
      <c r="AB97" s="433"/>
      <c r="AC97" s="433"/>
      <c r="AD97" s="432"/>
      <c r="AE97" s="432"/>
      <c r="AF97" s="432"/>
      <c r="AG97" s="418"/>
      <c r="AH97" s="434"/>
      <c r="AI97" s="435"/>
      <c r="AJ97" s="436"/>
      <c r="AK97" s="437"/>
      <c r="AL97" s="438"/>
      <c r="AM97" s="123"/>
      <c r="AN97" s="176"/>
      <c r="AO97" s="439"/>
      <c r="AP97" s="52"/>
      <c r="AQ97" s="52"/>
      <c r="AR97" s="185"/>
      <c r="AU97" s="186"/>
    </row>
    <row r="98" spans="1:47" ht="40.5" customHeight="1" x14ac:dyDescent="0.35">
      <c r="A98" s="441" t="s">
        <v>100</v>
      </c>
      <c r="B98" s="24">
        <v>3</v>
      </c>
      <c r="C98" s="24">
        <v>6</v>
      </c>
      <c r="D98" s="24">
        <v>3</v>
      </c>
      <c r="E98" s="24">
        <v>20</v>
      </c>
      <c r="F98" s="24"/>
      <c r="G98" s="24" t="s">
        <v>90</v>
      </c>
      <c r="H98" s="24">
        <v>10</v>
      </c>
      <c r="I98" s="24" t="s">
        <v>88</v>
      </c>
      <c r="J98" s="224" t="s">
        <v>415</v>
      </c>
      <c r="K98" s="442"/>
      <c r="L98" s="442"/>
      <c r="M98" s="442"/>
      <c r="N98" s="443">
        <v>1174750619</v>
      </c>
      <c r="O98" s="443">
        <v>0</v>
      </c>
      <c r="P98" s="443">
        <v>1174750619</v>
      </c>
      <c r="Q98" s="443">
        <f>SUM(N98+O98-P98)</f>
        <v>0</v>
      </c>
      <c r="R98" s="443"/>
      <c r="S98" s="377"/>
      <c r="T98" s="377"/>
      <c r="U98" s="377"/>
      <c r="V98" s="377"/>
      <c r="W98" s="377"/>
      <c r="X98" s="431"/>
      <c r="Y98" s="432"/>
      <c r="Z98" s="167">
        <f>SUM(Q98-R98-T98-V98-W98-X98-Y98)</f>
        <v>0</v>
      </c>
      <c r="AA98" s="433"/>
      <c r="AB98" s="433"/>
      <c r="AC98" s="433"/>
      <c r="AD98" s="432"/>
      <c r="AE98" s="432"/>
      <c r="AF98" s="432"/>
      <c r="AG98" s="418"/>
      <c r="AH98" s="434"/>
      <c r="AI98" s="435"/>
      <c r="AJ98" s="444"/>
      <c r="AK98" s="437" t="e">
        <f>SUM(AD98-AE98-#REF!-#REF!)</f>
        <v>#REF!</v>
      </c>
      <c r="AL98" s="445"/>
      <c r="AN98" s="231"/>
      <c r="AO98" s="122"/>
      <c r="AP98" s="446"/>
      <c r="AQ98" s="446"/>
    </row>
    <row r="99" spans="1:47" s="428" customFormat="1" ht="28.5" customHeight="1" x14ac:dyDescent="0.35">
      <c r="A99" s="410"/>
      <c r="B99" s="411"/>
      <c r="C99" s="411"/>
      <c r="D99" s="411"/>
      <c r="E99" s="411"/>
      <c r="F99" s="411"/>
      <c r="G99" s="411"/>
      <c r="H99" s="411"/>
      <c r="I99" s="447">
        <f>SUBTOTAL(9,Q101:Q107)</f>
        <v>20990678600</v>
      </c>
      <c r="J99" s="412" t="s">
        <v>416</v>
      </c>
      <c r="K99" s="413"/>
      <c r="L99" s="413"/>
      <c r="M99" s="413"/>
      <c r="N99" s="414">
        <f>SUM(N98:N98)</f>
        <v>1174750619</v>
      </c>
      <c r="O99" s="414">
        <f>SUM(O98:O98)</f>
        <v>0</v>
      </c>
      <c r="P99" s="414">
        <f>SUM(P98:P98)</f>
        <v>1174750619</v>
      </c>
      <c r="Q99" s="414">
        <f>SUM(Q98:Q98)</f>
        <v>0</v>
      </c>
      <c r="R99" s="414"/>
      <c r="S99" s="414"/>
      <c r="T99" s="414">
        <f>SUM(T98:T98)</f>
        <v>0</v>
      </c>
      <c r="U99" s="414"/>
      <c r="V99" s="414">
        <f>SUM(V98:V98)</f>
        <v>0</v>
      </c>
      <c r="W99" s="414"/>
      <c r="X99" s="431"/>
      <c r="Y99" s="448"/>
      <c r="Z99" s="414">
        <f>SUM(Z98:Z98)</f>
        <v>0</v>
      </c>
      <c r="AA99" s="414">
        <f>SUM(AA98:AA98)</f>
        <v>0</v>
      </c>
      <c r="AB99" s="414"/>
      <c r="AC99" s="414"/>
      <c r="AD99" s="448">
        <f>SUM(Z99-AB99)</f>
        <v>0</v>
      </c>
      <c r="AE99" s="448"/>
      <c r="AF99" s="448"/>
      <c r="AG99" s="449"/>
      <c r="AH99" s="450"/>
      <c r="AI99" s="448"/>
      <c r="AJ99" s="451"/>
      <c r="AK99" s="437" t="e">
        <f>SUM(AD99-AE99-#REF!-#REF!)</f>
        <v>#REF!</v>
      </c>
      <c r="AL99" s="452"/>
      <c r="AM99" s="123"/>
      <c r="AN99" s="424"/>
      <c r="AO99" s="425"/>
      <c r="AP99" s="426"/>
      <c r="AQ99" s="426"/>
      <c r="AR99" s="453"/>
      <c r="AU99" s="429"/>
    </row>
    <row r="100" spans="1:47" s="428" customFormat="1" ht="28.5" customHeight="1" x14ac:dyDescent="0.35">
      <c r="A100" s="410"/>
      <c r="B100" s="855" t="s">
        <v>417</v>
      </c>
      <c r="C100" s="856"/>
      <c r="D100" s="856"/>
      <c r="E100" s="856"/>
      <c r="F100" s="856"/>
      <c r="G100" s="856"/>
      <c r="H100" s="856"/>
      <c r="I100" s="856"/>
      <c r="J100" s="857"/>
      <c r="K100" s="413"/>
      <c r="L100" s="413"/>
      <c r="M100" s="413"/>
      <c r="N100" s="414"/>
      <c r="O100" s="414"/>
      <c r="P100" s="414"/>
      <c r="Q100" s="414"/>
      <c r="R100" s="414"/>
      <c r="S100" s="414"/>
      <c r="T100" s="414"/>
      <c r="U100" s="414"/>
      <c r="V100" s="414"/>
      <c r="W100" s="414"/>
      <c r="X100" s="431"/>
      <c r="Y100" s="448"/>
      <c r="Z100" s="414"/>
      <c r="AA100" s="414"/>
      <c r="AB100" s="414"/>
      <c r="AC100" s="414"/>
      <c r="AD100" s="448"/>
      <c r="AE100" s="448"/>
      <c r="AF100" s="448"/>
      <c r="AG100" s="450"/>
      <c r="AH100" s="450"/>
      <c r="AI100" s="448"/>
      <c r="AJ100" s="451"/>
      <c r="AK100" s="437"/>
      <c r="AL100" s="452"/>
      <c r="AM100" s="123"/>
      <c r="AN100" s="424"/>
      <c r="AO100" s="425"/>
      <c r="AP100" s="426">
        <v>0</v>
      </c>
      <c r="AQ100" s="426"/>
      <c r="AR100" s="453"/>
      <c r="AU100" s="429"/>
    </row>
    <row r="101" spans="1:47" ht="84" customHeight="1" x14ac:dyDescent="0.35">
      <c r="A101" s="441"/>
      <c r="B101" s="454">
        <v>501</v>
      </c>
      <c r="C101" s="454">
        <v>1000</v>
      </c>
      <c r="D101" s="454">
        <v>1</v>
      </c>
      <c r="E101" s="455" t="s">
        <v>87</v>
      </c>
      <c r="F101" s="455" t="s">
        <v>87</v>
      </c>
      <c r="G101" s="455" t="s">
        <v>90</v>
      </c>
      <c r="H101" s="454">
        <v>10</v>
      </c>
      <c r="I101" s="454" t="s">
        <v>88</v>
      </c>
      <c r="J101" s="456" t="s">
        <v>418</v>
      </c>
      <c r="K101" s="457"/>
      <c r="L101" s="457"/>
      <c r="M101" s="457"/>
      <c r="N101" s="659">
        <v>6900000000</v>
      </c>
      <c r="O101" s="433"/>
      <c r="P101" s="433"/>
      <c r="Q101" s="433">
        <f t="shared" ref="Q101:Q108" si="51">SUM(N101+O101-P101)</f>
        <v>6900000000</v>
      </c>
      <c r="R101" s="458"/>
      <c r="S101" s="458"/>
      <c r="T101" s="458"/>
      <c r="U101" s="458"/>
      <c r="V101" s="614"/>
      <c r="W101" s="614">
        <v>5909616100</v>
      </c>
      <c r="X101" s="614">
        <f t="shared" ref="X101:X107" si="52">SUM(U101)</f>
        <v>0</v>
      </c>
      <c r="Y101" s="614"/>
      <c r="Z101" s="614">
        <f t="shared" ref="Z101:Z108" si="53">SUM(Q101-R101-T101-V101-W101-X101-Y101)</f>
        <v>990383900</v>
      </c>
      <c r="AA101" s="737"/>
      <c r="AB101" s="737"/>
      <c r="AC101" s="614">
        <f t="shared" ref="AC101:AC107" si="54">SUM(AA101-AB101)</f>
        <v>0</v>
      </c>
      <c r="AD101" s="614">
        <f t="shared" ref="AD101:AD108" si="55">SUM(Z101-AB101)</f>
        <v>990383900</v>
      </c>
      <c r="AE101" s="614"/>
      <c r="AF101" s="614">
        <f t="shared" ref="AF101" si="56">SUM(AD101-AE101)</f>
        <v>990383900</v>
      </c>
      <c r="AG101" s="648">
        <f>SUM(R101+T101+V101+W101+AB101)</f>
        <v>5909616100</v>
      </c>
      <c r="AH101" s="380">
        <f t="shared" ref="AH101:AH108" si="57">AB101/(AB101+AE101+AF101)</f>
        <v>0</v>
      </c>
      <c r="AI101" s="381"/>
      <c r="AJ101" s="382"/>
      <c r="AK101" s="383" t="e">
        <f>SUM(AD101-AE101-#REF!-#REF!)</f>
        <v>#REF!</v>
      </c>
      <c r="AL101" s="384">
        <f t="shared" ref="AL101:AL109" si="58">SUM(Q101-(AD101+X101))/Q101</f>
        <v>0.85646610144927537</v>
      </c>
      <c r="AM101" s="459"/>
      <c r="AN101" s="176"/>
      <c r="AO101" s="460"/>
      <c r="AP101" s="52"/>
      <c r="AQ101" s="52"/>
    </row>
    <row r="102" spans="1:47" ht="100.5" customHeight="1" x14ac:dyDescent="0.35">
      <c r="A102" s="441" t="s">
        <v>92</v>
      </c>
      <c r="B102" s="454">
        <v>505</v>
      </c>
      <c r="C102" s="454">
        <v>1000</v>
      </c>
      <c r="D102" s="455">
        <v>1</v>
      </c>
      <c r="E102" s="455" t="s">
        <v>87</v>
      </c>
      <c r="F102" s="455" t="s">
        <v>87</v>
      </c>
      <c r="G102" s="455" t="s">
        <v>90</v>
      </c>
      <c r="H102" s="454">
        <v>10</v>
      </c>
      <c r="I102" s="454" t="s">
        <v>88</v>
      </c>
      <c r="J102" s="456" t="s">
        <v>554</v>
      </c>
      <c r="K102" s="461" t="s">
        <v>419</v>
      </c>
      <c r="L102" s="462" t="s">
        <v>420</v>
      </c>
      <c r="M102" s="462">
        <v>2</v>
      </c>
      <c r="N102" s="659">
        <v>310000000</v>
      </c>
      <c r="O102" s="433"/>
      <c r="P102" s="433"/>
      <c r="Q102" s="433">
        <f t="shared" si="51"/>
        <v>310000000</v>
      </c>
      <c r="R102" s="458"/>
      <c r="S102" s="458"/>
      <c r="T102" s="458"/>
      <c r="U102" s="458"/>
      <c r="V102" s="614"/>
      <c r="W102" s="614"/>
      <c r="X102" s="614">
        <f t="shared" si="52"/>
        <v>0</v>
      </c>
      <c r="Y102" s="614"/>
      <c r="Z102" s="614">
        <f t="shared" si="53"/>
        <v>310000000</v>
      </c>
      <c r="AA102" s="747">
        <v>312881000</v>
      </c>
      <c r="AB102" s="747">
        <v>299030300</v>
      </c>
      <c r="AC102" s="614">
        <f t="shared" si="54"/>
        <v>13850700</v>
      </c>
      <c r="AD102" s="614">
        <f t="shared" si="55"/>
        <v>10969700</v>
      </c>
      <c r="AE102" s="614"/>
      <c r="AF102" s="614">
        <f>SUM(AD102-AE102)</f>
        <v>10969700</v>
      </c>
      <c r="AG102" s="648">
        <f>SUM(R102+T102+V102+W102+AB102)</f>
        <v>299030300</v>
      </c>
      <c r="AH102" s="380">
        <f t="shared" si="57"/>
        <v>0.96461387096774198</v>
      </c>
      <c r="AI102" s="464"/>
      <c r="AJ102" s="465"/>
      <c r="AK102" s="466" t="e">
        <f>SUM(AD102-AE102-#REF!-#REF!)</f>
        <v>#REF!</v>
      </c>
      <c r="AL102" s="467">
        <f t="shared" si="58"/>
        <v>0.96461387096774198</v>
      </c>
      <c r="AM102" s="468"/>
      <c r="AN102" s="176"/>
      <c r="AO102" s="469"/>
      <c r="AP102" s="52"/>
      <c r="AQ102" s="52"/>
    </row>
    <row r="103" spans="1:47" ht="100.5" customHeight="1" x14ac:dyDescent="0.35">
      <c r="A103" s="441"/>
      <c r="B103" s="454">
        <v>505</v>
      </c>
      <c r="C103" s="454">
        <v>1000</v>
      </c>
      <c r="D103" s="455">
        <v>1</v>
      </c>
      <c r="E103" s="455" t="s">
        <v>87</v>
      </c>
      <c r="F103" s="455" t="s">
        <v>87</v>
      </c>
      <c r="G103" s="455" t="s">
        <v>90</v>
      </c>
      <c r="H103" s="657">
        <v>11</v>
      </c>
      <c r="I103" s="454" t="s">
        <v>88</v>
      </c>
      <c r="J103" s="456" t="s">
        <v>618</v>
      </c>
      <c r="K103" s="461"/>
      <c r="L103" s="462"/>
      <c r="M103" s="462"/>
      <c r="N103" s="660">
        <v>4000000000</v>
      </c>
      <c r="O103" s="433"/>
      <c r="P103" s="433"/>
      <c r="Q103" s="433">
        <f t="shared" si="51"/>
        <v>4000000000</v>
      </c>
      <c r="R103" s="458"/>
      <c r="S103" s="458"/>
      <c r="T103" s="458"/>
      <c r="U103" s="458"/>
      <c r="V103" s="614"/>
      <c r="W103" s="614"/>
      <c r="X103" s="614"/>
      <c r="Y103" s="614"/>
      <c r="Z103" s="614">
        <f t="shared" si="53"/>
        <v>4000000000</v>
      </c>
      <c r="AA103" s="747">
        <v>2410220000</v>
      </c>
      <c r="AB103" s="747">
        <v>1972220000</v>
      </c>
      <c r="AC103" s="614"/>
      <c r="AD103" s="614">
        <f t="shared" si="55"/>
        <v>2027780000</v>
      </c>
      <c r="AE103" s="747">
        <v>438000000</v>
      </c>
      <c r="AF103" s="614">
        <f t="shared" ref="AF103:AF108" si="59">SUM(AD103-AE103)</f>
        <v>1589780000</v>
      </c>
      <c r="AG103" s="648">
        <f t="shared" ref="AG103:AG105" si="60">SUM(R103+T103+V103+W103+AB103)</f>
        <v>1972220000</v>
      </c>
      <c r="AH103" s="380">
        <f t="shared" si="57"/>
        <v>0.49305500000000002</v>
      </c>
      <c r="AI103" s="464"/>
      <c r="AJ103" s="465"/>
      <c r="AK103" s="466"/>
      <c r="AL103" s="467">
        <f t="shared" si="58"/>
        <v>0.49305500000000002</v>
      </c>
      <c r="AM103" s="468"/>
      <c r="AN103" s="176"/>
      <c r="AO103" s="469"/>
      <c r="AP103" s="52"/>
      <c r="AQ103" s="52"/>
    </row>
    <row r="104" spans="1:47" ht="98.25" customHeight="1" x14ac:dyDescent="0.35">
      <c r="A104" s="441" t="s">
        <v>92</v>
      </c>
      <c r="B104" s="454">
        <v>505</v>
      </c>
      <c r="C104" s="454">
        <v>1000</v>
      </c>
      <c r="D104" s="455">
        <v>2</v>
      </c>
      <c r="E104" s="455" t="s">
        <v>87</v>
      </c>
      <c r="F104" s="455" t="s">
        <v>87</v>
      </c>
      <c r="G104" s="455" t="s">
        <v>90</v>
      </c>
      <c r="H104" s="454">
        <v>10</v>
      </c>
      <c r="I104" s="454" t="s">
        <v>88</v>
      </c>
      <c r="J104" s="456" t="s">
        <v>652</v>
      </c>
      <c r="K104" s="461"/>
      <c r="L104" s="462"/>
      <c r="M104" s="462"/>
      <c r="N104" s="659">
        <v>2650000000</v>
      </c>
      <c r="O104" s="433"/>
      <c r="P104" s="433"/>
      <c r="Q104" s="433">
        <f t="shared" si="51"/>
        <v>2650000000</v>
      </c>
      <c r="R104" s="458"/>
      <c r="S104" s="458"/>
      <c r="T104" s="458"/>
      <c r="U104" s="458"/>
      <c r="V104" s="655">
        <v>1654254356</v>
      </c>
      <c r="W104" s="614"/>
      <c r="X104" s="614">
        <f>SUM(U104)</f>
        <v>0</v>
      </c>
      <c r="Y104" s="614"/>
      <c r="Z104" s="614">
        <f t="shared" si="53"/>
        <v>995745644</v>
      </c>
      <c r="AA104" s="747">
        <v>1042497500</v>
      </c>
      <c r="AB104" s="747">
        <v>965445833</v>
      </c>
      <c r="AC104" s="614">
        <f>SUM(AA104-AB104)</f>
        <v>77051667</v>
      </c>
      <c r="AD104" s="614">
        <f t="shared" si="55"/>
        <v>30299811</v>
      </c>
      <c r="AE104" s="614"/>
      <c r="AF104" s="614">
        <f t="shared" si="59"/>
        <v>30299811</v>
      </c>
      <c r="AG104" s="648">
        <f t="shared" si="60"/>
        <v>2619700189</v>
      </c>
      <c r="AH104" s="380">
        <f t="shared" si="57"/>
        <v>0.96957073206136968</v>
      </c>
      <c r="AI104" s="464"/>
      <c r="AJ104" s="465"/>
      <c r="AK104" s="466" t="e">
        <f>SUM(AD104-AE104-#REF!-#REF!)</f>
        <v>#REF!</v>
      </c>
      <c r="AL104" s="467">
        <f t="shared" si="58"/>
        <v>0.9885661090566038</v>
      </c>
      <c r="AM104" s="468"/>
      <c r="AN104" s="176"/>
      <c r="AO104" s="469"/>
      <c r="AP104" s="52"/>
      <c r="AQ104" s="52"/>
    </row>
    <row r="105" spans="1:47" ht="102.75" customHeight="1" x14ac:dyDescent="0.35">
      <c r="A105" s="441"/>
      <c r="B105" s="454">
        <v>505</v>
      </c>
      <c r="C105" s="454">
        <v>1000</v>
      </c>
      <c r="D105" s="455">
        <v>2</v>
      </c>
      <c r="E105" s="455" t="s">
        <v>87</v>
      </c>
      <c r="F105" s="455" t="s">
        <v>87</v>
      </c>
      <c r="G105" s="455" t="s">
        <v>90</v>
      </c>
      <c r="H105" s="657">
        <v>11</v>
      </c>
      <c r="I105" s="454" t="s">
        <v>88</v>
      </c>
      <c r="J105" s="456" t="s">
        <v>651</v>
      </c>
      <c r="K105" s="461"/>
      <c r="L105" s="462"/>
      <c r="M105" s="462"/>
      <c r="N105" s="660">
        <v>5000000000</v>
      </c>
      <c r="O105" s="433"/>
      <c r="P105" s="433"/>
      <c r="Q105" s="433">
        <f t="shared" si="51"/>
        <v>5000000000</v>
      </c>
      <c r="R105" s="458"/>
      <c r="S105" s="458"/>
      <c r="T105" s="458"/>
      <c r="U105" s="458"/>
      <c r="V105" s="655">
        <v>50000000</v>
      </c>
      <c r="W105" s="614"/>
      <c r="X105" s="614"/>
      <c r="Y105" s="614"/>
      <c r="Z105" s="614">
        <f t="shared" si="53"/>
        <v>4950000000</v>
      </c>
      <c r="AA105" s="747">
        <v>3045765537</v>
      </c>
      <c r="AB105" s="747">
        <v>2336885500</v>
      </c>
      <c r="AC105" s="614"/>
      <c r="AD105" s="614">
        <f t="shared" si="55"/>
        <v>2613114500</v>
      </c>
      <c r="AE105" s="747">
        <v>678443537</v>
      </c>
      <c r="AF105" s="614">
        <f t="shared" si="59"/>
        <v>1934670963</v>
      </c>
      <c r="AG105" s="648">
        <f t="shared" si="60"/>
        <v>2386885500</v>
      </c>
      <c r="AH105" s="380">
        <f t="shared" si="57"/>
        <v>0.4720980808080808</v>
      </c>
      <c r="AI105" s="464"/>
      <c r="AJ105" s="465"/>
      <c r="AK105" s="466"/>
      <c r="AL105" s="467">
        <f t="shared" si="58"/>
        <v>0.4773771</v>
      </c>
      <c r="AM105" s="468"/>
      <c r="AN105" s="176"/>
      <c r="AO105" s="469"/>
      <c r="AP105" s="52"/>
      <c r="AQ105" s="52"/>
    </row>
    <row r="106" spans="1:47" ht="78.75" customHeight="1" x14ac:dyDescent="0.35">
      <c r="A106" s="441" t="s">
        <v>92</v>
      </c>
      <c r="B106" s="454">
        <v>599</v>
      </c>
      <c r="C106" s="454">
        <v>1000</v>
      </c>
      <c r="D106" s="455">
        <v>1</v>
      </c>
      <c r="E106" s="455" t="s">
        <v>87</v>
      </c>
      <c r="F106" s="455" t="s">
        <v>87</v>
      </c>
      <c r="G106" s="455" t="s">
        <v>90</v>
      </c>
      <c r="H106" s="454">
        <v>10</v>
      </c>
      <c r="I106" s="454" t="s">
        <v>88</v>
      </c>
      <c r="J106" s="456" t="s">
        <v>421</v>
      </c>
      <c r="K106" s="457"/>
      <c r="L106" s="457"/>
      <c r="M106" s="457"/>
      <c r="N106" s="659">
        <v>90678600</v>
      </c>
      <c r="O106" s="433"/>
      <c r="P106" s="433"/>
      <c r="Q106" s="433">
        <f t="shared" si="51"/>
        <v>90678600</v>
      </c>
      <c r="R106" s="458"/>
      <c r="S106" s="458"/>
      <c r="T106" s="458"/>
      <c r="U106" s="458"/>
      <c r="V106" s="614"/>
      <c r="W106" s="614">
        <v>90286552.870000005</v>
      </c>
      <c r="X106" s="614">
        <f t="shared" si="52"/>
        <v>0</v>
      </c>
      <c r="Y106" s="614"/>
      <c r="Z106" s="614">
        <f t="shared" si="53"/>
        <v>392047.12999999523</v>
      </c>
      <c r="AA106" s="737"/>
      <c r="AB106" s="737"/>
      <c r="AC106" s="614">
        <f t="shared" si="54"/>
        <v>0</v>
      </c>
      <c r="AD106" s="614">
        <f t="shared" si="55"/>
        <v>392047.12999999523</v>
      </c>
      <c r="AE106" s="615"/>
      <c r="AF106" s="614">
        <f t="shared" si="59"/>
        <v>392047.12999999523</v>
      </c>
      <c r="AG106" s="648">
        <f t="shared" ref="AG106:AG108" si="61">SUM(R106+T106+V106+W106+Y106+AB106)</f>
        <v>90286552.870000005</v>
      </c>
      <c r="AH106" s="380">
        <f>AB106/(AB106+AE106+AF106)</f>
        <v>0</v>
      </c>
      <c r="AI106" s="381"/>
      <c r="AJ106" s="382"/>
      <c r="AK106" s="383" t="e">
        <f>SUM(AD106-AE106-#REF!-#REF!)</f>
        <v>#REF!</v>
      </c>
      <c r="AL106" s="467">
        <f t="shared" si="58"/>
        <v>0.99567651981834748</v>
      </c>
      <c r="AM106" s="459"/>
      <c r="AN106" s="176"/>
      <c r="AO106" s="470"/>
      <c r="AP106" s="52"/>
      <c r="AQ106" s="52"/>
    </row>
    <row r="107" spans="1:47" ht="93" customHeight="1" x14ac:dyDescent="0.35">
      <c r="A107" s="441" t="s">
        <v>92</v>
      </c>
      <c r="B107" s="454">
        <v>599</v>
      </c>
      <c r="C107" s="454">
        <v>1000</v>
      </c>
      <c r="D107" s="455">
        <v>2</v>
      </c>
      <c r="E107" s="455" t="s">
        <v>87</v>
      </c>
      <c r="F107" s="455" t="s">
        <v>87</v>
      </c>
      <c r="G107" s="455" t="s">
        <v>90</v>
      </c>
      <c r="H107" s="454">
        <v>10</v>
      </c>
      <c r="I107" s="454" t="s">
        <v>88</v>
      </c>
      <c r="J107" s="456" t="s">
        <v>422</v>
      </c>
      <c r="K107" s="457"/>
      <c r="L107" s="457"/>
      <c r="M107" s="457"/>
      <c r="N107" s="659">
        <v>2040000000</v>
      </c>
      <c r="O107" s="433"/>
      <c r="P107" s="433"/>
      <c r="Q107" s="433">
        <f t="shared" si="51"/>
        <v>2040000000</v>
      </c>
      <c r="R107" s="458"/>
      <c r="S107" s="458"/>
      <c r="T107" s="458"/>
      <c r="U107" s="458"/>
      <c r="V107" s="655">
        <v>967447452</v>
      </c>
      <c r="W107" s="614"/>
      <c r="X107" s="614">
        <f t="shared" si="52"/>
        <v>0</v>
      </c>
      <c r="Y107" s="614"/>
      <c r="Z107" s="614">
        <f t="shared" si="53"/>
        <v>1072552548</v>
      </c>
      <c r="AA107" s="747">
        <v>1072552548</v>
      </c>
      <c r="AB107" s="747">
        <v>175050000</v>
      </c>
      <c r="AC107" s="614">
        <f t="shared" si="54"/>
        <v>897502548</v>
      </c>
      <c r="AD107" s="614">
        <f t="shared" si="55"/>
        <v>897502548</v>
      </c>
      <c r="AE107" s="747">
        <v>897502548</v>
      </c>
      <c r="AF107" s="614">
        <f t="shared" si="59"/>
        <v>0</v>
      </c>
      <c r="AG107" s="648">
        <f t="shared" si="61"/>
        <v>1142497452</v>
      </c>
      <c r="AH107" s="380">
        <f t="shared" si="57"/>
        <v>0.16320878667102845</v>
      </c>
      <c r="AI107" s="381"/>
      <c r="AJ107" s="382"/>
      <c r="AK107" s="383" t="e">
        <f>SUM(AD107-AE107-#REF!-#REF!)</f>
        <v>#REF!</v>
      </c>
      <c r="AL107" s="384">
        <f t="shared" si="58"/>
        <v>0.56004777058823529</v>
      </c>
      <c r="AM107" s="459"/>
      <c r="AN107" s="176"/>
      <c r="AO107" s="470"/>
      <c r="AP107" s="52"/>
      <c r="AQ107" s="52"/>
    </row>
    <row r="108" spans="1:47" ht="93" customHeight="1" x14ac:dyDescent="0.35">
      <c r="A108" s="441"/>
      <c r="B108" s="454">
        <v>599</v>
      </c>
      <c r="C108" s="454">
        <v>1000</v>
      </c>
      <c r="D108" s="455">
        <v>2</v>
      </c>
      <c r="E108" s="455" t="s">
        <v>87</v>
      </c>
      <c r="F108" s="455" t="s">
        <v>87</v>
      </c>
      <c r="G108" s="455" t="s">
        <v>90</v>
      </c>
      <c r="H108" s="657">
        <v>11</v>
      </c>
      <c r="I108" s="454" t="s">
        <v>88</v>
      </c>
      <c r="J108" s="456" t="s">
        <v>422</v>
      </c>
      <c r="K108" s="457"/>
      <c r="L108" s="457"/>
      <c r="M108" s="457"/>
      <c r="N108" s="660">
        <v>1000000000</v>
      </c>
      <c r="O108" s="433"/>
      <c r="P108" s="433"/>
      <c r="Q108" s="433">
        <f t="shared" si="51"/>
        <v>1000000000</v>
      </c>
      <c r="R108" s="458"/>
      <c r="S108" s="458"/>
      <c r="T108" s="458"/>
      <c r="U108" s="458"/>
      <c r="V108" s="655"/>
      <c r="W108" s="614"/>
      <c r="X108" s="614"/>
      <c r="Y108" s="614"/>
      <c r="Z108" s="614">
        <f t="shared" si="53"/>
        <v>1000000000</v>
      </c>
      <c r="AA108" s="747">
        <v>788238262</v>
      </c>
      <c r="AB108" s="747"/>
      <c r="AC108" s="614"/>
      <c r="AD108" s="614">
        <f t="shared" si="55"/>
        <v>1000000000</v>
      </c>
      <c r="AE108" s="747">
        <v>788238262</v>
      </c>
      <c r="AF108" s="614">
        <f t="shared" si="59"/>
        <v>211761738</v>
      </c>
      <c r="AG108" s="648">
        <f t="shared" si="61"/>
        <v>0</v>
      </c>
      <c r="AH108" s="380">
        <f t="shared" si="57"/>
        <v>0</v>
      </c>
      <c r="AI108" s="381"/>
      <c r="AJ108" s="382"/>
      <c r="AK108" s="383"/>
      <c r="AL108" s="384">
        <f t="shared" si="58"/>
        <v>0</v>
      </c>
      <c r="AM108" s="459"/>
      <c r="AN108" s="176"/>
      <c r="AO108" s="470" t="s">
        <v>631</v>
      </c>
      <c r="AP108" s="52"/>
      <c r="AQ108" s="52"/>
    </row>
    <row r="109" spans="1:47" s="472" customFormat="1" ht="53.25" customHeight="1" x14ac:dyDescent="0.35">
      <c r="A109" s="410"/>
      <c r="B109" s="411"/>
      <c r="C109" s="411"/>
      <c r="D109" s="411"/>
      <c r="E109" s="411"/>
      <c r="F109" s="411"/>
      <c r="G109" s="411"/>
      <c r="H109" s="411"/>
      <c r="I109" s="411"/>
      <c r="J109" s="412" t="s">
        <v>423</v>
      </c>
      <c r="K109" s="413"/>
      <c r="L109" s="413"/>
      <c r="M109" s="413"/>
      <c r="N109" s="416">
        <f>SUM(N101:N108)</f>
        <v>21990678600</v>
      </c>
      <c r="O109" s="416">
        <f>SUM(O101:O107)</f>
        <v>0</v>
      </c>
      <c r="P109" s="416">
        <f>SUM(P101:P107)</f>
        <v>0</v>
      </c>
      <c r="Q109" s="416">
        <f>SUM(Q101:Q107)</f>
        <v>20990678600</v>
      </c>
      <c r="R109" s="416"/>
      <c r="S109" s="416"/>
      <c r="T109" s="416">
        <f>SUM(T101:T107)</f>
        <v>0</v>
      </c>
      <c r="U109" s="416"/>
      <c r="V109" s="416">
        <f t="shared" ref="V109:Y109" si="62">SUM(V101:V107)</f>
        <v>2671701808</v>
      </c>
      <c r="W109" s="416">
        <f t="shared" si="62"/>
        <v>5999902652.8699999</v>
      </c>
      <c r="X109" s="463">
        <f t="shared" si="62"/>
        <v>0</v>
      </c>
      <c r="Y109" s="417">
        <f t="shared" si="62"/>
        <v>0</v>
      </c>
      <c r="Z109" s="416">
        <f>SUM(Z101:Z108)</f>
        <v>13319074139.129999</v>
      </c>
      <c r="AA109" s="416">
        <f>SUM(AA101:AA108)</f>
        <v>8672154847</v>
      </c>
      <c r="AB109" s="416">
        <f t="shared" ref="AB109:AG109" si="63">SUM(AB101:AB108)</f>
        <v>5748631633</v>
      </c>
      <c r="AC109" s="416">
        <f t="shared" si="63"/>
        <v>988404915</v>
      </c>
      <c r="AD109" s="416">
        <f t="shared" si="63"/>
        <v>7570442506.1300001</v>
      </c>
      <c r="AE109" s="416">
        <f t="shared" si="63"/>
        <v>2802184347</v>
      </c>
      <c r="AF109" s="416">
        <f t="shared" si="63"/>
        <v>4768258159.1300001</v>
      </c>
      <c r="AG109" s="416">
        <f t="shared" si="63"/>
        <v>14420236093.870001</v>
      </c>
      <c r="AH109" s="419">
        <f>AB109/(AB109+AE109+AF109)</f>
        <v>0.43160895216516149</v>
      </c>
      <c r="AI109" s="420"/>
      <c r="AJ109" s="421"/>
      <c r="AK109" s="422" t="e">
        <f>SUM(AD109-AE109-#REF!-#REF!)</f>
        <v>#REF!</v>
      </c>
      <c r="AL109" s="423">
        <f t="shared" si="58"/>
        <v>0.63934265059301132</v>
      </c>
      <c r="AM109" s="459"/>
      <c r="AN109" s="424"/>
      <c r="AO109" s="471"/>
      <c r="AP109" s="426"/>
      <c r="AQ109" s="426"/>
      <c r="AR109" s="453"/>
      <c r="AU109" s="429"/>
    </row>
    <row r="110" spans="1:47" s="488" customFormat="1" x14ac:dyDescent="0.35">
      <c r="A110" s="473" t="s">
        <v>87</v>
      </c>
      <c r="B110" s="474" t="s">
        <v>87</v>
      </c>
      <c r="C110" s="474" t="s">
        <v>87</v>
      </c>
      <c r="D110" s="474" t="s">
        <v>87</v>
      </c>
      <c r="E110" s="474" t="s">
        <v>87</v>
      </c>
      <c r="F110" s="474" t="s">
        <v>87</v>
      </c>
      <c r="G110" s="474" t="s">
        <v>87</v>
      </c>
      <c r="H110" s="474" t="s">
        <v>87</v>
      </c>
      <c r="I110" s="474" t="s">
        <v>87</v>
      </c>
      <c r="J110" s="475"/>
      <c r="K110" s="442"/>
      <c r="L110" s="442"/>
      <c r="M110" s="442"/>
      <c r="N110" s="443"/>
      <c r="O110" s="443"/>
      <c r="P110" s="476"/>
      <c r="Q110" s="476"/>
      <c r="R110" s="476"/>
      <c r="S110" s="476"/>
      <c r="T110" s="476"/>
      <c r="U110" s="476"/>
      <c r="V110" s="476"/>
      <c r="W110" s="476"/>
      <c r="X110" s="477" t="s">
        <v>424</v>
      </c>
      <c r="Y110" s="478"/>
      <c r="Z110" s="476"/>
      <c r="AA110" s="476"/>
      <c r="AB110" s="476"/>
      <c r="AC110" s="479">
        <f>SUM(Z109-AB109)</f>
        <v>7570442506.1299992</v>
      </c>
      <c r="AD110" s="480">
        <f>SUM(Z109-AB109)</f>
        <v>7570442506.1299992</v>
      </c>
      <c r="AE110" s="478"/>
      <c r="AF110" s="478">
        <f>SUM(AD109-AE109)</f>
        <v>4768258159.1300001</v>
      </c>
      <c r="AG110" s="481"/>
      <c r="AH110" s="482"/>
      <c r="AI110" s="483"/>
      <c r="AJ110" s="484"/>
      <c r="AK110" s="485"/>
      <c r="AL110" s="486"/>
      <c r="AM110" s="487"/>
      <c r="AO110" s="489"/>
      <c r="AP110" s="490"/>
      <c r="AQ110" s="490"/>
      <c r="AR110" s="125"/>
      <c r="AU110" s="126"/>
    </row>
    <row r="111" spans="1:47" s="488" customFormat="1" ht="27.75" customHeight="1" x14ac:dyDescent="0.35">
      <c r="A111" s="10"/>
      <c r="B111" s="10"/>
      <c r="C111" s="10"/>
      <c r="D111" s="10"/>
      <c r="E111" s="10"/>
      <c r="F111" s="10"/>
      <c r="G111" s="10"/>
      <c r="H111" s="10"/>
      <c r="I111" s="10"/>
      <c r="J111" s="491"/>
      <c r="K111" s="10"/>
      <c r="L111" s="10"/>
      <c r="M111" s="492"/>
      <c r="N111" s="493"/>
      <c r="O111" s="493"/>
      <c r="P111" s="493"/>
      <c r="Q111" s="494"/>
      <c r="R111" s="494"/>
      <c r="S111" s="494"/>
      <c r="T111" s="495"/>
      <c r="U111" s="495"/>
      <c r="V111" s="495"/>
      <c r="W111" s="493"/>
      <c r="X111" s="496"/>
      <c r="Y111" s="497"/>
      <c r="Z111" s="493"/>
      <c r="AA111" s="498"/>
      <c r="AB111" s="498"/>
      <c r="AC111" s="498"/>
      <c r="AD111" s="497"/>
      <c r="AE111" s="499" t="e">
        <f>AE101+AE107+AE102+#REF!</f>
        <v>#REF!</v>
      </c>
      <c r="AF111" s="499" t="e">
        <f>AF101+AF107+AF102+#REF!</f>
        <v>#REF!</v>
      </c>
      <c r="AG111" s="500"/>
      <c r="AH111" s="501"/>
      <c r="AI111" s="497"/>
      <c r="AJ111" s="502"/>
      <c r="AL111" s="503"/>
      <c r="AM111" s="487"/>
      <c r="AP111" s="124"/>
      <c r="AQ111" s="124"/>
      <c r="AR111" s="125"/>
      <c r="AU111" s="126"/>
    </row>
    <row r="112" spans="1:47" s="488" customFormat="1" ht="66" customHeight="1" x14ac:dyDescent="0.35">
      <c r="A112" s="10"/>
      <c r="B112" s="10"/>
      <c r="C112" s="10"/>
      <c r="D112" s="10"/>
      <c r="E112" s="10"/>
      <c r="F112" s="10"/>
      <c r="G112" s="10"/>
      <c r="H112" s="10"/>
      <c r="I112" s="10"/>
      <c r="J112" s="491"/>
      <c r="K112" s="10"/>
      <c r="L112" s="10"/>
      <c r="M112" s="492"/>
      <c r="N112" s="493"/>
      <c r="O112" s="493"/>
      <c r="P112" s="493"/>
      <c r="Q112" s="494"/>
      <c r="R112" s="494"/>
      <c r="S112" s="494"/>
      <c r="T112" s="495"/>
      <c r="U112" s="495"/>
      <c r="V112" s="495"/>
      <c r="W112" s="858" t="s">
        <v>224</v>
      </c>
      <c r="X112" s="859"/>
      <c r="Y112" s="859"/>
      <c r="Z112" s="859"/>
      <c r="AA112" s="859"/>
      <c r="AB112" s="859"/>
      <c r="AC112" s="859"/>
      <c r="AD112" s="859"/>
      <c r="AE112" s="859"/>
      <c r="AF112" s="859"/>
      <c r="AG112" s="859"/>
      <c r="AH112" s="504"/>
      <c r="AI112" s="505"/>
      <c r="AJ112" s="505"/>
      <c r="AK112" s="505"/>
      <c r="AL112" s="505"/>
      <c r="AM112" s="487"/>
      <c r="AP112" s="124"/>
      <c r="AQ112" s="124"/>
      <c r="AR112" s="125"/>
      <c r="AU112" s="126"/>
    </row>
    <row r="113" spans="1:47" s="488" customFormat="1" ht="81.75" customHeight="1" x14ac:dyDescent="0.35">
      <c r="A113" s="10"/>
      <c r="B113" s="10"/>
      <c r="C113" s="10"/>
      <c r="D113" s="10"/>
      <c r="E113" s="10"/>
      <c r="F113" s="10"/>
      <c r="G113" s="10"/>
      <c r="H113" s="10"/>
      <c r="I113" s="10"/>
      <c r="J113" s="506"/>
      <c r="K113" s="10"/>
      <c r="L113" s="10"/>
      <c r="M113" s="10"/>
      <c r="N113" s="495"/>
      <c r="O113" s="495"/>
      <c r="P113" s="507"/>
      <c r="Q113" s="507"/>
      <c r="R113" s="507"/>
      <c r="S113" s="507"/>
      <c r="T113" s="495"/>
      <c r="U113" s="495"/>
      <c r="V113" s="495"/>
      <c r="W113" s="860" t="s">
        <v>425</v>
      </c>
      <c r="X113" s="861"/>
      <c r="Y113" s="862"/>
      <c r="Z113" s="508" t="s">
        <v>426</v>
      </c>
      <c r="AA113" s="509" t="s">
        <v>341</v>
      </c>
      <c r="AB113" s="510" t="s">
        <v>342</v>
      </c>
      <c r="AC113" s="511" t="s">
        <v>427</v>
      </c>
      <c r="AD113" s="512" t="s">
        <v>344</v>
      </c>
      <c r="AE113" s="512" t="s">
        <v>345</v>
      </c>
      <c r="AF113" s="512" t="s">
        <v>346</v>
      </c>
      <c r="AG113" s="513" t="s">
        <v>428</v>
      </c>
      <c r="AH113" s="513"/>
      <c r="AI113" s="513" t="s">
        <v>347</v>
      </c>
      <c r="AJ113" s="513" t="s">
        <v>347</v>
      </c>
      <c r="AK113" s="513" t="s">
        <v>347</v>
      </c>
      <c r="AL113" s="513" t="s">
        <v>330</v>
      </c>
      <c r="AM113" s="487"/>
      <c r="AP113" s="124"/>
      <c r="AQ113" s="124"/>
      <c r="AR113" s="125"/>
      <c r="AU113" s="126"/>
    </row>
    <row r="114" spans="1:47" s="488" customFormat="1" ht="60.75" customHeight="1" x14ac:dyDescent="0.35">
      <c r="A114" s="10"/>
      <c r="B114" s="10"/>
      <c r="C114" s="10"/>
      <c r="D114" s="10"/>
      <c r="E114" s="10"/>
      <c r="F114" s="10"/>
      <c r="G114" s="10"/>
      <c r="H114" s="10"/>
      <c r="I114" s="10"/>
      <c r="J114" s="514"/>
      <c r="K114" s="515"/>
      <c r="L114" s="515"/>
      <c r="M114" s="515"/>
      <c r="N114" s="516"/>
      <c r="O114" s="516"/>
      <c r="P114" s="516"/>
      <c r="Q114" s="517"/>
      <c r="R114" s="517"/>
      <c r="S114" s="517"/>
      <c r="T114" s="495"/>
      <c r="U114" s="495"/>
      <c r="V114" s="495"/>
      <c r="W114" s="863" t="s">
        <v>429</v>
      </c>
      <c r="X114" s="863"/>
      <c r="Y114" s="863"/>
      <c r="Z114" s="518">
        <f t="shared" ref="Z114:AF114" si="64">SUM(Z92)</f>
        <v>1547944937.99</v>
      </c>
      <c r="AA114" s="518">
        <f t="shared" si="64"/>
        <v>1003220693</v>
      </c>
      <c r="AB114" s="518">
        <f t="shared" si="64"/>
        <v>176915266</v>
      </c>
      <c r="AC114" s="518">
        <f t="shared" si="64"/>
        <v>832793633</v>
      </c>
      <c r="AD114" s="518">
        <f t="shared" si="64"/>
        <v>1371029671.99</v>
      </c>
      <c r="AE114" s="518">
        <f t="shared" si="64"/>
        <v>823990311</v>
      </c>
      <c r="AF114" s="518">
        <f t="shared" si="64"/>
        <v>547039360.99000001</v>
      </c>
      <c r="AG114" s="738">
        <f>AB114/(AB114+AE114+AF114)</f>
        <v>0.11429041282936313</v>
      </c>
      <c r="AH114" s="519"/>
      <c r="AI114" s="520"/>
      <c r="AJ114" s="521"/>
      <c r="AK114" s="522"/>
      <c r="AL114" s="523"/>
      <c r="AM114" s="524"/>
      <c r="AP114" s="124"/>
      <c r="AQ114" s="124"/>
      <c r="AR114" s="125"/>
      <c r="AU114" s="126"/>
    </row>
    <row r="115" spans="1:47" s="488" customFormat="1" ht="45" customHeight="1" x14ac:dyDescent="0.35">
      <c r="A115" s="10"/>
      <c r="B115" s="10"/>
      <c r="C115" s="10"/>
      <c r="D115" s="10"/>
      <c r="E115" s="10"/>
      <c r="F115" s="10"/>
      <c r="G115" s="10"/>
      <c r="H115" s="10"/>
      <c r="I115" s="10"/>
      <c r="J115" s="525"/>
      <c r="K115" s="526"/>
      <c r="L115" s="527"/>
      <c r="M115" s="528"/>
      <c r="N115" s="507"/>
      <c r="O115" s="507"/>
      <c r="P115" s="507"/>
      <c r="Q115" s="507"/>
      <c r="R115" s="507"/>
      <c r="S115" s="507"/>
      <c r="T115" s="507"/>
      <c r="U115" s="507"/>
      <c r="V115" s="507"/>
      <c r="W115" s="873" t="s">
        <v>430</v>
      </c>
      <c r="X115" s="873"/>
      <c r="Y115" s="873"/>
      <c r="Z115" s="518">
        <f t="shared" ref="Z115:AE115" si="65">SUM(Z109)</f>
        <v>13319074139.129999</v>
      </c>
      <c r="AA115" s="518">
        <f t="shared" si="65"/>
        <v>8672154847</v>
      </c>
      <c r="AB115" s="518">
        <f t="shared" si="65"/>
        <v>5748631633</v>
      </c>
      <c r="AC115" s="518">
        <f t="shared" si="65"/>
        <v>988404915</v>
      </c>
      <c r="AD115" s="518">
        <f t="shared" si="65"/>
        <v>7570442506.1300001</v>
      </c>
      <c r="AE115" s="518">
        <f t="shared" si="65"/>
        <v>2802184347</v>
      </c>
      <c r="AF115" s="518">
        <f>SUM(AF109)</f>
        <v>4768258159.1300001</v>
      </c>
      <c r="AG115" s="738">
        <f>AB115/(AB115+AE115+AF115)</f>
        <v>0.43160895216516149</v>
      </c>
      <c r="AH115" s="519"/>
      <c r="AI115" s="520"/>
      <c r="AJ115" s="521"/>
      <c r="AK115" s="522"/>
      <c r="AL115" s="523">
        <f>SUM(AL109)</f>
        <v>0.63934265059301132</v>
      </c>
      <c r="AM115" s="524"/>
      <c r="AP115" s="124"/>
      <c r="AQ115" s="124"/>
      <c r="AR115" s="125"/>
      <c r="AU115" s="126"/>
    </row>
    <row r="116" spans="1:47" s="488" customFormat="1" ht="45.75" customHeight="1" x14ac:dyDescent="0.35">
      <c r="A116" s="10"/>
      <c r="B116" s="10"/>
      <c r="C116" s="10"/>
      <c r="D116" s="10"/>
      <c r="E116" s="10"/>
      <c r="F116" s="10"/>
      <c r="G116" s="10"/>
      <c r="H116" s="10"/>
      <c r="I116" s="10"/>
      <c r="J116" s="529"/>
      <c r="K116" s="526"/>
      <c r="L116" s="527"/>
      <c r="M116" s="528"/>
      <c r="N116" s="507"/>
      <c r="O116" s="507"/>
      <c r="P116" s="507"/>
      <c r="Q116" s="507"/>
      <c r="R116" s="507"/>
      <c r="S116" s="507"/>
      <c r="T116" s="507"/>
      <c r="U116" s="507"/>
      <c r="V116" s="507"/>
      <c r="W116" s="874" t="s">
        <v>431</v>
      </c>
      <c r="X116" s="875"/>
      <c r="Y116" s="876"/>
      <c r="Z116" s="518">
        <f t="shared" ref="Z116:AF116" si="66">SUM(Z114:Z115)</f>
        <v>14867019077.119999</v>
      </c>
      <c r="AA116" s="518">
        <f t="shared" si="66"/>
        <v>9675375540</v>
      </c>
      <c r="AB116" s="518">
        <f t="shared" si="66"/>
        <v>5925546899</v>
      </c>
      <c r="AC116" s="518">
        <f t="shared" si="66"/>
        <v>1821198548</v>
      </c>
      <c r="AD116" s="612">
        <f>SUM(AD114:AD115)</f>
        <v>8941472178.1200008</v>
      </c>
      <c r="AE116" s="518">
        <f t="shared" si="66"/>
        <v>3626174658</v>
      </c>
      <c r="AF116" s="518">
        <f t="shared" si="66"/>
        <v>5315297520.1199999</v>
      </c>
      <c r="AG116" s="738">
        <f>AB116/(AB116+AE116+AF116)</f>
        <v>0.39856993982870986</v>
      </c>
      <c r="AH116" s="519"/>
      <c r="AI116" s="519" t="e">
        <f>AVERAGE(AI114:AI115)</f>
        <v>#DIV/0!</v>
      </c>
      <c r="AJ116" s="519" t="e">
        <f>AVERAGE(AJ114:AJ115)</f>
        <v>#DIV/0!</v>
      </c>
      <c r="AK116" s="519" t="e">
        <f>AVERAGE(AK114:AK115)</f>
        <v>#DIV/0!</v>
      </c>
      <c r="AL116" s="519">
        <f>AVERAGE(AL114:AL115)</f>
        <v>0.63934265059301132</v>
      </c>
      <c r="AM116" s="487"/>
      <c r="AP116" s="124"/>
      <c r="AQ116" s="124"/>
      <c r="AR116" s="125"/>
      <c r="AU116" s="126"/>
    </row>
    <row r="117" spans="1:47" s="488" customFormat="1" ht="55.9" customHeight="1" x14ac:dyDescent="0.35">
      <c r="A117" s="10"/>
      <c r="B117" s="10"/>
      <c r="C117" s="10"/>
      <c r="D117" s="10"/>
      <c r="E117" s="10"/>
      <c r="F117" s="10"/>
      <c r="G117" s="10"/>
      <c r="H117" s="10"/>
      <c r="I117" s="10"/>
      <c r="J117" s="529"/>
      <c r="K117" s="526"/>
      <c r="L117" s="527"/>
      <c r="M117" s="528"/>
      <c r="N117" s="507"/>
      <c r="O117" s="507"/>
      <c r="P117" s="507"/>
      <c r="Q117" s="507"/>
      <c r="R117" s="507"/>
      <c r="S117" s="507"/>
      <c r="T117" s="507"/>
      <c r="U117" s="507"/>
      <c r="V117" s="507"/>
      <c r="W117" s="507"/>
      <c r="X117" s="530"/>
      <c r="Y117" s="507"/>
      <c r="Z117" s="877"/>
      <c r="AA117" s="878"/>
      <c r="AB117" s="878"/>
      <c r="AC117" s="878"/>
      <c r="AD117" s="878"/>
      <c r="AE117" s="878"/>
      <c r="AF117" s="879"/>
      <c r="AG117" s="531"/>
      <c r="AH117" s="516"/>
      <c r="AI117" s="495"/>
      <c r="AJ117" s="444"/>
      <c r="AL117" s="503"/>
      <c r="AM117" s="487"/>
      <c r="AP117" s="124"/>
      <c r="AQ117" s="124"/>
      <c r="AR117" s="125"/>
      <c r="AU117" s="126"/>
    </row>
    <row r="118" spans="1:47" s="488" customFormat="1" ht="32.25" customHeight="1" x14ac:dyDescent="0.35">
      <c r="A118" s="10"/>
      <c r="B118" s="10"/>
      <c r="C118" s="10"/>
      <c r="D118" s="10"/>
      <c r="E118" s="10"/>
      <c r="F118" s="10"/>
      <c r="G118" s="10"/>
      <c r="H118" s="10"/>
      <c r="I118" s="10"/>
      <c r="J118" s="532"/>
      <c r="K118" s="533"/>
      <c r="L118" s="476"/>
      <c r="M118" s="534"/>
      <c r="N118" s="507"/>
      <c r="O118" s="507"/>
      <c r="P118" s="507"/>
      <c r="Q118" s="535"/>
      <c r="R118" s="535"/>
      <c r="S118" s="535"/>
      <c r="T118" s="507"/>
      <c r="U118" s="507"/>
      <c r="V118" s="507"/>
      <c r="W118" s="507"/>
      <c r="X118" s="530"/>
      <c r="Y118" s="507"/>
      <c r="Z118" s="536">
        <f>SUBTOTAL(9,Z101:Z107)</f>
        <v>12319074139.129999</v>
      </c>
      <c r="AA118" s="537">
        <f>SUBTOTAL(9,AA101:AA107)</f>
        <v>7883916585</v>
      </c>
      <c r="AB118" s="537">
        <f>SUBTOTAL(9,AB101:AB107)</f>
        <v>5748631633</v>
      </c>
      <c r="AC118" s="537">
        <f>SUM(AA116-AB116)</f>
        <v>3749828641</v>
      </c>
      <c r="AD118" s="537">
        <f>SUM(Z116-AB116)</f>
        <v>8941472178.1199989</v>
      </c>
      <c r="AE118" s="537">
        <f>SUM(AA116-AB116)</f>
        <v>3749828641</v>
      </c>
      <c r="AF118" s="538">
        <f>SUM(AD115-AE115)</f>
        <v>4768258159.1300001</v>
      </c>
      <c r="AG118" s="539"/>
      <c r="AH118" s="540"/>
      <c r="AI118" s="541"/>
      <c r="AJ118" s="444"/>
      <c r="AL118" s="503"/>
      <c r="AM118" s="487"/>
      <c r="AP118" s="124"/>
      <c r="AQ118" s="124"/>
      <c r="AR118" s="125"/>
      <c r="AU118" s="126"/>
    </row>
    <row r="119" spans="1:47" s="488" customFormat="1" x14ac:dyDescent="0.35">
      <c r="A119" s="10"/>
      <c r="B119" s="10"/>
      <c r="C119" s="10"/>
      <c r="D119" s="10"/>
      <c r="E119" s="10"/>
      <c r="F119" s="10"/>
      <c r="G119" s="10"/>
      <c r="H119" s="10"/>
      <c r="I119" s="10"/>
      <c r="J119" s="529"/>
      <c r="K119" s="542"/>
      <c r="L119" s="543"/>
      <c r="M119" s="544"/>
      <c r="N119" s="495"/>
      <c r="O119" s="495"/>
      <c r="P119" s="495"/>
      <c r="Q119" s="545"/>
      <c r="R119" s="545"/>
      <c r="S119" s="545"/>
      <c r="T119" s="507"/>
      <c r="U119" s="507"/>
      <c r="V119" s="495"/>
      <c r="W119" s="495"/>
      <c r="X119" s="546"/>
      <c r="Y119" s="495"/>
      <c r="Z119" s="536"/>
      <c r="AA119" s="537"/>
      <c r="AB119" s="537"/>
      <c r="AC119" s="537"/>
      <c r="AD119" s="537"/>
      <c r="AE119" s="537"/>
      <c r="AF119" s="538">
        <f>SUM(AD114-AE114)</f>
        <v>547039360.99000001</v>
      </c>
      <c r="AG119" s="539"/>
      <c r="AH119" s="540"/>
      <c r="AI119" s="541"/>
      <c r="AJ119" s="444"/>
      <c r="AL119" s="503"/>
      <c r="AM119" s="487"/>
      <c r="AP119" s="124"/>
      <c r="AQ119" s="124"/>
      <c r="AR119" s="125"/>
      <c r="AU119" s="126"/>
    </row>
    <row r="120" spans="1:47" s="488" customFormat="1" ht="24" thickBot="1" x14ac:dyDescent="0.4">
      <c r="A120" s="10"/>
      <c r="B120" s="10"/>
      <c r="C120" s="10"/>
      <c r="D120" s="10"/>
      <c r="E120" s="10"/>
      <c r="F120" s="10"/>
      <c r="G120" s="10"/>
      <c r="H120" s="10"/>
      <c r="I120" s="10"/>
      <c r="J120" s="529"/>
      <c r="K120" s="526"/>
      <c r="L120" s="527"/>
      <c r="M120" s="528"/>
      <c r="N120" s="507"/>
      <c r="O120" s="507"/>
      <c r="P120" s="507"/>
      <c r="Q120" s="535"/>
      <c r="R120" s="535"/>
      <c r="S120" s="535"/>
      <c r="T120" s="507"/>
      <c r="U120" s="507"/>
      <c r="V120" s="507"/>
      <c r="W120" s="507"/>
      <c r="X120" s="530"/>
      <c r="Y120" s="507"/>
      <c r="Z120" s="547" t="s">
        <v>350</v>
      </c>
      <c r="AA120" s="548"/>
      <c r="AB120" s="548"/>
      <c r="AC120" s="548"/>
      <c r="AD120" s="548">
        <f>SUM(AD116-AE116)</f>
        <v>5315297520.1200008</v>
      </c>
      <c r="AE120" s="548">
        <f>SUM(AF120-AF116)</f>
        <v>9.5367431640625E-7</v>
      </c>
      <c r="AF120" s="549">
        <f>SUM(AD116-AE116)</f>
        <v>5315297520.1200008</v>
      </c>
      <c r="AG120" s="539"/>
      <c r="AH120" s="540"/>
      <c r="AI120" s="541"/>
      <c r="AJ120" s="444"/>
      <c r="AL120" s="503"/>
      <c r="AM120" s="487"/>
      <c r="AP120" s="124"/>
      <c r="AQ120" s="124"/>
      <c r="AR120" s="125"/>
      <c r="AU120" s="126"/>
    </row>
    <row r="121" spans="1:47" s="488" customFormat="1" ht="93" customHeight="1" x14ac:dyDescent="0.35">
      <c r="A121" s="10"/>
      <c r="B121" s="10"/>
      <c r="C121" s="10"/>
      <c r="D121" s="10"/>
      <c r="E121" s="10"/>
      <c r="F121" s="10"/>
      <c r="G121" s="10"/>
      <c r="H121" s="10"/>
      <c r="I121" s="10"/>
      <c r="J121" s="529"/>
      <c r="K121" s="526"/>
      <c r="L121" s="527"/>
      <c r="M121" s="528"/>
      <c r="N121" s="507"/>
      <c r="O121" s="507"/>
      <c r="P121" s="507"/>
      <c r="Q121" s="507"/>
      <c r="R121" s="507"/>
      <c r="S121" s="507"/>
      <c r="T121" s="507"/>
      <c r="U121" s="507"/>
      <c r="V121" s="507"/>
      <c r="W121" s="507"/>
      <c r="X121" s="530"/>
      <c r="Y121" s="507"/>
      <c r="Z121" s="495"/>
      <c r="AA121" s="550">
        <f>SUM(AB116+AD116)</f>
        <v>14867019077.120001</v>
      </c>
      <c r="AB121" s="551">
        <f>SUM(AE116+AF116)</f>
        <v>8941472178.1199989</v>
      </c>
      <c r="AC121" s="495"/>
      <c r="AD121" s="551">
        <f>SUM(AE115:AF115)</f>
        <v>7570442506.1300001</v>
      </c>
      <c r="AE121" s="495">
        <f>SUM(AE113:AF114)</f>
        <v>1371029671.99</v>
      </c>
      <c r="AF121" s="495"/>
      <c r="AG121" s="552"/>
      <c r="AH121" s="516"/>
      <c r="AI121" s="495"/>
      <c r="AJ121" s="553"/>
      <c r="AL121" s="503"/>
      <c r="AM121" s="487"/>
      <c r="AP121" s="124"/>
      <c r="AQ121" s="124"/>
      <c r="AR121" s="125"/>
      <c r="AU121" s="126"/>
    </row>
    <row r="122" spans="1:47" s="488" customFormat="1" ht="58.15" customHeight="1" x14ac:dyDescent="0.35">
      <c r="A122" s="10"/>
      <c r="B122" s="10"/>
      <c r="C122" s="10"/>
      <c r="D122" s="10"/>
      <c r="E122" s="10"/>
      <c r="F122" s="10"/>
      <c r="G122" s="10"/>
      <c r="H122" s="10"/>
      <c r="I122" s="10"/>
      <c r="J122" s="532"/>
      <c r="K122" s="533"/>
      <c r="L122" s="476"/>
      <c r="M122" s="534"/>
      <c r="N122" s="507"/>
      <c r="O122" s="507"/>
      <c r="P122" s="507"/>
      <c r="Q122" s="507"/>
      <c r="R122" s="507"/>
      <c r="S122" s="507"/>
      <c r="T122" s="507"/>
      <c r="U122" s="507"/>
      <c r="V122" s="507"/>
      <c r="W122" s="507"/>
      <c r="X122" s="530"/>
      <c r="Y122" s="554" t="s">
        <v>432</v>
      </c>
      <c r="Z122" s="555"/>
      <c r="AA122" s="555"/>
      <c r="AB122" s="556">
        <f>AB114-AB9</f>
        <v>85195066</v>
      </c>
      <c r="AC122" s="556">
        <f>AC114-AC9</f>
        <v>550231149</v>
      </c>
      <c r="AD122" s="556">
        <f>AD114-AD9</f>
        <v>1080987478.99</v>
      </c>
      <c r="AE122" s="556">
        <f>AE114-AE9</f>
        <v>541427827</v>
      </c>
      <c r="AF122" s="556">
        <f>AF114-AF9</f>
        <v>539559651.99000001</v>
      </c>
      <c r="AG122" s="552"/>
      <c r="AH122" s="516"/>
      <c r="AI122" s="440"/>
      <c r="AJ122" s="557"/>
      <c r="AK122" s="440"/>
      <c r="AL122" s="849"/>
      <c r="AM122" s="487"/>
      <c r="AP122" s="124"/>
      <c r="AQ122" s="124"/>
      <c r="AR122" s="125"/>
      <c r="AU122" s="126"/>
    </row>
    <row r="123" spans="1:47" s="488" customFormat="1" ht="31.9" customHeight="1" x14ac:dyDescent="0.35">
      <c r="A123" s="10"/>
      <c r="B123" s="10"/>
      <c r="C123" s="10"/>
      <c r="D123" s="10"/>
      <c r="E123" s="10"/>
      <c r="F123" s="10"/>
      <c r="G123" s="10"/>
      <c r="H123" s="10"/>
      <c r="I123" s="10"/>
      <c r="J123" s="529"/>
      <c r="K123" s="542"/>
      <c r="L123" s="543"/>
      <c r="M123" s="544"/>
      <c r="N123" s="495"/>
      <c r="O123" s="495"/>
      <c r="P123" s="495"/>
      <c r="Q123" s="545"/>
      <c r="R123" s="545"/>
      <c r="S123" s="545"/>
      <c r="T123" s="495"/>
      <c r="U123" s="495"/>
      <c r="V123" s="495"/>
      <c r="W123" s="495"/>
      <c r="X123" s="546"/>
      <c r="Y123" s="558"/>
      <c r="Z123" s="559"/>
      <c r="AA123" s="559"/>
      <c r="AB123" s="559"/>
      <c r="AC123" s="559"/>
      <c r="AD123" s="559"/>
      <c r="AE123" s="850">
        <f>SUM(AE122+AF122)</f>
        <v>1080987478.99</v>
      </c>
      <c r="AF123" s="851"/>
      <c r="AG123" s="560"/>
      <c r="AH123" s="561"/>
      <c r="AI123" s="561"/>
      <c r="AJ123" s="557"/>
      <c r="AK123" s="562"/>
      <c r="AL123" s="849"/>
      <c r="AM123" s="487"/>
      <c r="AP123" s="124"/>
      <c r="AQ123" s="124"/>
      <c r="AR123" s="125"/>
      <c r="AU123" s="126"/>
    </row>
    <row r="124" spans="1:47" s="488" customFormat="1" ht="51" customHeight="1" x14ac:dyDescent="0.4">
      <c r="A124" s="10"/>
      <c r="B124" s="10"/>
      <c r="C124" s="10"/>
      <c r="D124" s="10"/>
      <c r="E124" s="10"/>
      <c r="F124" s="10"/>
      <c r="G124" s="10"/>
      <c r="H124" s="10"/>
      <c r="I124" s="10"/>
      <c r="J124" s="532"/>
      <c r="K124" s="533"/>
      <c r="L124" s="476"/>
      <c r="M124" s="534"/>
      <c r="N124" s="507"/>
      <c r="O124" s="507"/>
      <c r="P124" s="507"/>
      <c r="Q124" s="535"/>
      <c r="R124" s="535"/>
      <c r="S124" s="535"/>
      <c r="T124" s="507"/>
      <c r="U124" s="507"/>
      <c r="V124" s="507"/>
      <c r="W124" s="507"/>
      <c r="X124" s="530"/>
      <c r="Y124" s="554" t="s">
        <v>433</v>
      </c>
      <c r="Z124" s="563"/>
      <c r="AA124" s="563"/>
      <c r="AB124" s="564" t="e">
        <f>AB115-AB104-#REF!</f>
        <v>#REF!</v>
      </c>
      <c r="AC124" s="564" t="e">
        <f>AC115-AC104-#REF!</f>
        <v>#REF!</v>
      </c>
      <c r="AD124" s="564" t="e">
        <f>AD115-AD104-#REF!</f>
        <v>#REF!</v>
      </c>
      <c r="AE124" s="564" t="e">
        <f>AE115-AE104-#REF!</f>
        <v>#REF!</v>
      </c>
      <c r="AF124" s="564" t="e">
        <f>AF115-AF104-#REF!</f>
        <v>#REF!</v>
      </c>
      <c r="AG124" s="539"/>
      <c r="AH124" s="565"/>
      <c r="AI124" s="566"/>
      <c r="AJ124" s="246"/>
      <c r="AK124" s="566"/>
      <c r="AL124" s="567"/>
      <c r="AM124" s="487"/>
      <c r="AP124" s="124"/>
      <c r="AQ124" s="124"/>
      <c r="AR124" s="125"/>
      <c r="AU124" s="126"/>
    </row>
    <row r="125" spans="1:47" s="488" customFormat="1" ht="42.75" customHeight="1" x14ac:dyDescent="0.4">
      <c r="A125" s="10"/>
      <c r="B125" s="10"/>
      <c r="C125" s="10"/>
      <c r="D125" s="10"/>
      <c r="E125" s="10"/>
      <c r="F125" s="10"/>
      <c r="G125" s="10"/>
      <c r="H125" s="10"/>
      <c r="I125" s="10"/>
      <c r="J125" s="10"/>
      <c r="K125" s="10"/>
      <c r="L125" s="10"/>
      <c r="M125" s="10"/>
      <c r="N125" s="440"/>
      <c r="O125" s="440"/>
      <c r="P125" s="440"/>
      <c r="Q125" s="568"/>
      <c r="R125" s="568"/>
      <c r="S125" s="568"/>
      <c r="T125" s="440"/>
      <c r="U125" s="440"/>
      <c r="V125" s="440"/>
      <c r="W125" s="440"/>
      <c r="X125" s="569"/>
      <c r="Y125" s="570"/>
      <c r="Z125" s="563"/>
      <c r="AA125" s="563"/>
      <c r="AB125" s="563"/>
      <c r="AC125" s="563"/>
      <c r="AD125" s="563"/>
      <c r="AE125" s="852" t="e">
        <f>AE124+AF124</f>
        <v>#REF!</v>
      </c>
      <c r="AF125" s="853"/>
      <c r="AG125" s="571"/>
      <c r="AH125" s="565"/>
      <c r="AI125" s="566"/>
      <c r="AJ125" s="246"/>
      <c r="AK125" s="566"/>
      <c r="AL125" s="567"/>
      <c r="AM125" s="487"/>
      <c r="AP125" s="124"/>
      <c r="AQ125" s="124"/>
      <c r="AR125" s="125"/>
      <c r="AU125" s="126"/>
    </row>
    <row r="126" spans="1:47" x14ac:dyDescent="0.35">
      <c r="O126" s="572">
        <f>SUM(P124-O124)</f>
        <v>0</v>
      </c>
      <c r="Y126" s="507"/>
      <c r="Z126" s="573"/>
      <c r="AA126" s="573"/>
      <c r="AB126" s="574" t="e">
        <f>AB104+#REF!</f>
        <v>#REF!</v>
      </c>
      <c r="AC126" s="574" t="e">
        <f>AC104+#REF!</f>
        <v>#REF!</v>
      </c>
      <c r="AD126" s="574" t="e">
        <f>AD104+#REF!</f>
        <v>#REF!</v>
      </c>
      <c r="AE126" s="574" t="e">
        <f>AE104+#REF!</f>
        <v>#REF!</v>
      </c>
      <c r="AF126" s="574" t="e">
        <f>AF104+#REF!</f>
        <v>#REF!</v>
      </c>
      <c r="AG126" s="539"/>
      <c r="AH126" s="565"/>
      <c r="AI126" s="566"/>
      <c r="AJ126" s="246"/>
      <c r="AK126" s="566"/>
      <c r="AL126" s="567"/>
    </row>
    <row r="127" spans="1:47" x14ac:dyDescent="0.35">
      <c r="AB127" s="575" t="e">
        <f>AB124+AB126</f>
        <v>#REF!</v>
      </c>
      <c r="AC127" s="575" t="e">
        <f>AC124+AC126</f>
        <v>#REF!</v>
      </c>
      <c r="AD127" s="575" t="e">
        <f>AD124+AD126</f>
        <v>#REF!</v>
      </c>
      <c r="AE127" s="575" t="e">
        <f>AE124+AE126</f>
        <v>#REF!</v>
      </c>
      <c r="AF127" s="575" t="e">
        <f>AF124+AF126</f>
        <v>#REF!</v>
      </c>
      <c r="AJ127" s="576"/>
    </row>
    <row r="128" spans="1:47" x14ac:dyDescent="0.35">
      <c r="AD128" s="119"/>
      <c r="AF128" s="119"/>
    </row>
    <row r="129" spans="28:31" x14ac:dyDescent="0.35">
      <c r="AB129" s="119"/>
    </row>
    <row r="130" spans="28:31" x14ac:dyDescent="0.35">
      <c r="AD130" s="119"/>
    </row>
    <row r="131" spans="28:31" x14ac:dyDescent="0.35">
      <c r="AE131" s="119"/>
    </row>
  </sheetData>
  <mergeCells count="37">
    <mergeCell ref="AL122:AL123"/>
    <mergeCell ref="AE123:AF123"/>
    <mergeCell ref="AE125:AF125"/>
    <mergeCell ref="M93:M95"/>
    <mergeCell ref="B97:J97"/>
    <mergeCell ref="B100:J100"/>
    <mergeCell ref="W112:AG112"/>
    <mergeCell ref="W113:Y113"/>
    <mergeCell ref="W114:Y114"/>
    <mergeCell ref="B93:I95"/>
    <mergeCell ref="W115:Y115"/>
    <mergeCell ref="W116:Y116"/>
    <mergeCell ref="Z117:AF117"/>
    <mergeCell ref="L76:L77"/>
    <mergeCell ref="K78:K79"/>
    <mergeCell ref="L78:L79"/>
    <mergeCell ref="B81:J81"/>
    <mergeCell ref="B86:J86"/>
    <mergeCell ref="K76:K77"/>
    <mergeCell ref="B52:J52"/>
    <mergeCell ref="B58:J58"/>
    <mergeCell ref="B64:J64"/>
    <mergeCell ref="B71:J71"/>
    <mergeCell ref="B75:J75"/>
    <mergeCell ref="AL4:AL5"/>
    <mergeCell ref="AP5:AQ5"/>
    <mergeCell ref="B17:J17"/>
    <mergeCell ref="B26:J26"/>
    <mergeCell ref="B37:J37"/>
    <mergeCell ref="B46:J46"/>
    <mergeCell ref="A1:AA1"/>
    <mergeCell ref="A2:AA2"/>
    <mergeCell ref="B3:I3"/>
    <mergeCell ref="K4:K5"/>
    <mergeCell ref="L4:L5"/>
    <mergeCell ref="M4:M5"/>
    <mergeCell ref="AA4:AE4"/>
  </mergeCells>
  <pageMargins left="1.299212598425197" right="0" top="0.39370078740157483" bottom="0" header="0.78740157480314965" footer="0.78740157480314965"/>
  <pageSetup paperSize="5" scale="20" orientation="landscape" horizontalDpi="300" verticalDpi="300" r:id="rId1"/>
  <headerFooter alignWithMargins="0"/>
  <rowBreaks count="1" manualBreakCount="1">
    <brk id="120" max="16383" man="1"/>
  </rowBreaks>
  <colBreaks count="1" manualBreakCount="1">
    <brk id="38" max="12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46"/>
  <sheetViews>
    <sheetView tabSelected="1" topLeftCell="A16" zoomScale="40" zoomScaleNormal="40" zoomScaleSheetLayoutView="23" workbookViewId="0">
      <pane xSplit="1" ySplit="4" topLeftCell="M50" activePane="bottomRight" state="frozen"/>
      <selection activeCell="A16" sqref="A16"/>
      <selection pane="topRight" activeCell="B16" sqref="B16"/>
      <selection pane="bottomLeft" activeCell="A20" sqref="A20"/>
      <selection pane="bottomRight" activeCell="W55" sqref="W55"/>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26.28515625" customWidth="1"/>
    <col min="7" max="7" width="32.42578125" customWidth="1"/>
    <col min="8" max="8" width="27" customWidth="1"/>
    <col min="9" max="9" width="39.85546875" customWidth="1"/>
    <col min="10" max="10" width="45.7109375" customWidth="1"/>
    <col min="11" max="11" width="72.5703125" customWidth="1"/>
    <col min="12" max="12" width="62.5703125" customWidth="1"/>
    <col min="13" max="13" width="64.28515625" customWidth="1"/>
    <col min="14" max="14" width="17.42578125" customWidth="1"/>
    <col min="15" max="15" width="27" customWidth="1"/>
    <col min="16" max="16" width="53.5703125" customWidth="1"/>
    <col min="17" max="17" width="5.7109375" customWidth="1"/>
    <col min="18" max="18" width="20" customWidth="1"/>
    <col min="19" max="19" width="45.28515625" customWidth="1"/>
    <col min="20" max="20" width="38.7109375" customWidth="1"/>
    <col min="21" max="21" width="66.140625" customWidth="1"/>
    <col min="22" max="22" width="37.28515625" customWidth="1"/>
    <col min="23" max="23" width="52.140625" customWidth="1"/>
    <col min="24" max="24" width="50" customWidth="1"/>
    <col min="25" max="25" width="49.140625" customWidth="1"/>
    <col min="26" max="26" width="50.7109375" customWidth="1"/>
    <col min="27" max="27" width="94.85546875" customWidth="1"/>
    <col min="28" max="28" width="45.7109375" customWidth="1"/>
    <col min="29" max="29" width="43.42578125" customWidth="1"/>
    <col min="30" max="30" width="24.5703125" customWidth="1"/>
    <col min="31" max="31" width="25.42578125" customWidth="1"/>
    <col min="32" max="32" width="36.5703125" customWidth="1"/>
    <col min="33" max="33" width="44" customWidth="1"/>
  </cols>
  <sheetData>
    <row r="1" spans="1:33" ht="26.25" x14ac:dyDescent="0.4">
      <c r="A1" s="91"/>
      <c r="B1" s="53"/>
      <c r="C1" s="2"/>
      <c r="D1" s="17"/>
      <c r="E1" s="2"/>
      <c r="F1" s="2"/>
      <c r="G1" s="2"/>
      <c r="H1" s="2"/>
      <c r="I1" s="2"/>
      <c r="J1" s="76"/>
      <c r="K1" s="2"/>
      <c r="L1" s="72"/>
      <c r="M1" s="8"/>
      <c r="N1" s="2"/>
      <c r="O1" s="2"/>
      <c r="P1" s="2"/>
      <c r="Q1" s="100"/>
      <c r="R1" s="3"/>
      <c r="S1" s="90"/>
      <c r="T1" s="4"/>
      <c r="U1" s="3"/>
      <c r="V1" s="3"/>
      <c r="W1" s="3"/>
      <c r="X1" s="54"/>
      <c r="Y1" s="3"/>
      <c r="Z1" s="51"/>
      <c r="AA1" s="3"/>
      <c r="AB1" s="3"/>
      <c r="AC1" s="3"/>
      <c r="AD1" s="3"/>
      <c r="AE1" s="3"/>
      <c r="AF1" s="3"/>
      <c r="AG1" s="18"/>
    </row>
    <row r="2" spans="1:33" ht="46.5" x14ac:dyDescent="0.4">
      <c r="A2" s="92"/>
      <c r="B2" s="906" t="s">
        <v>632</v>
      </c>
      <c r="C2" s="906"/>
      <c r="D2" s="906"/>
      <c r="E2" s="906"/>
      <c r="F2" s="906"/>
      <c r="G2" s="906"/>
      <c r="H2" s="906"/>
      <c r="I2" s="906"/>
      <c r="J2" s="906"/>
      <c r="K2" s="906"/>
      <c r="L2" s="906"/>
      <c r="M2" s="906"/>
      <c r="N2" s="906"/>
      <c r="O2" s="906"/>
      <c r="P2" s="906"/>
      <c r="Q2" s="101"/>
      <c r="R2" s="3"/>
      <c r="S2" s="90"/>
      <c r="T2" s="4"/>
      <c r="U2" s="3"/>
      <c r="V2" s="3"/>
      <c r="W2" s="3"/>
      <c r="X2" s="54"/>
      <c r="Y2" s="3"/>
      <c r="Z2" s="51"/>
      <c r="AA2" s="3"/>
      <c r="AB2" s="3"/>
      <c r="AC2" s="3"/>
      <c r="AD2" s="3"/>
      <c r="AE2" s="3"/>
      <c r="AF2" s="3"/>
      <c r="AG2" s="18"/>
    </row>
    <row r="3" spans="1:33" ht="26.25" x14ac:dyDescent="0.4">
      <c r="A3" s="91"/>
      <c r="B3" s="53"/>
      <c r="C3" s="40"/>
      <c r="D3" s="19"/>
      <c r="E3" s="2"/>
      <c r="F3" s="2"/>
      <c r="G3" s="2"/>
      <c r="H3" s="2"/>
      <c r="I3" s="2"/>
      <c r="J3" s="76"/>
      <c r="K3" s="2"/>
      <c r="L3" s="72"/>
      <c r="M3" s="8"/>
      <c r="N3" s="2"/>
      <c r="O3" s="2"/>
      <c r="P3" s="2"/>
      <c r="Q3" s="100"/>
      <c r="R3" s="3"/>
      <c r="S3" s="90"/>
      <c r="T3" s="4"/>
      <c r="U3" s="3"/>
      <c r="V3" s="3"/>
      <c r="W3" s="3"/>
      <c r="X3" s="54"/>
      <c r="Y3" s="3"/>
      <c r="Z3" s="51"/>
      <c r="AA3" s="3"/>
      <c r="AB3" s="3"/>
      <c r="AC3" s="3"/>
      <c r="AD3" s="3"/>
      <c r="AE3" s="3"/>
      <c r="AF3" s="3"/>
      <c r="AG3" s="18"/>
    </row>
    <row r="4" spans="1:33" ht="26.25" x14ac:dyDescent="0.4">
      <c r="A4" s="91"/>
      <c r="B4" s="53"/>
      <c r="C4" s="810" t="s">
        <v>0</v>
      </c>
      <c r="D4" s="810"/>
      <c r="E4" s="2"/>
      <c r="F4" s="2"/>
      <c r="G4" s="2"/>
      <c r="H4" s="2"/>
      <c r="I4" s="2"/>
      <c r="J4" s="76"/>
      <c r="K4" s="2"/>
      <c r="L4" s="72"/>
      <c r="M4" s="8"/>
      <c r="N4" s="2"/>
      <c r="O4" s="2"/>
      <c r="P4" s="2"/>
      <c r="Q4" s="100"/>
      <c r="R4" s="3"/>
      <c r="S4" s="90"/>
      <c r="T4" s="4"/>
      <c r="U4" s="3"/>
      <c r="V4" s="3"/>
      <c r="W4" s="3"/>
      <c r="X4" s="54"/>
      <c r="Y4" s="3"/>
      <c r="Z4" s="51"/>
      <c r="AA4" s="3"/>
      <c r="AB4" s="3"/>
      <c r="AC4" s="3"/>
      <c r="AD4" s="3"/>
      <c r="AE4" s="3"/>
      <c r="AF4" s="3"/>
      <c r="AG4" s="18"/>
    </row>
    <row r="5" spans="1:33" ht="26.25" x14ac:dyDescent="0.4">
      <c r="A5" s="93"/>
      <c r="B5" s="81"/>
      <c r="C5" s="78" t="s">
        <v>1</v>
      </c>
      <c r="D5" s="811" t="s">
        <v>2</v>
      </c>
      <c r="E5" s="811"/>
      <c r="F5" s="2"/>
      <c r="G5" s="5"/>
      <c r="H5" s="5"/>
      <c r="I5" s="812" t="s">
        <v>276</v>
      </c>
      <c r="J5" s="812"/>
      <c r="K5" s="812"/>
      <c r="L5" s="812"/>
      <c r="M5" s="812"/>
      <c r="N5" s="5"/>
      <c r="O5" s="5"/>
      <c r="P5" s="5"/>
      <c r="Q5" s="102"/>
      <c r="R5" s="3"/>
      <c r="S5" s="90"/>
      <c r="T5" s="4"/>
      <c r="U5" s="3"/>
      <c r="V5" s="3"/>
      <c r="W5" s="3"/>
      <c r="X5" s="54"/>
      <c r="Y5" s="3"/>
      <c r="Z5" s="51"/>
      <c r="AA5" s="3"/>
      <c r="AB5" s="3"/>
      <c r="AC5" s="3"/>
      <c r="AD5" s="3"/>
      <c r="AE5" s="3"/>
      <c r="AF5" s="3"/>
      <c r="AG5" s="18"/>
    </row>
    <row r="6" spans="1:33" ht="26.25" x14ac:dyDescent="0.4">
      <c r="A6" s="93"/>
      <c r="B6" s="81"/>
      <c r="C6" s="43" t="s">
        <v>3</v>
      </c>
      <c r="D6" s="811" t="s">
        <v>4</v>
      </c>
      <c r="E6" s="811"/>
      <c r="F6" s="2"/>
      <c r="G6" s="5"/>
      <c r="H6" s="5"/>
      <c r="I6" s="812"/>
      <c r="J6" s="812"/>
      <c r="K6" s="812"/>
      <c r="L6" s="812"/>
      <c r="M6" s="812"/>
      <c r="N6" s="5"/>
      <c r="O6" s="5"/>
      <c r="P6" s="5"/>
      <c r="Q6" s="102"/>
      <c r="R6" s="3"/>
      <c r="S6" s="90"/>
      <c r="T6" s="4"/>
      <c r="U6" s="3"/>
      <c r="V6" s="3"/>
      <c r="W6" s="3"/>
      <c r="X6" s="54"/>
      <c r="Y6" s="3"/>
      <c r="Z6" s="51"/>
      <c r="AA6" s="3"/>
      <c r="AB6" s="3"/>
      <c r="AC6" s="3"/>
      <c r="AD6" s="3"/>
      <c r="AE6" s="3"/>
      <c r="AF6" s="3"/>
      <c r="AG6" s="18"/>
    </row>
    <row r="7" spans="1:33" ht="26.25" x14ac:dyDescent="0.4">
      <c r="A7" s="93"/>
      <c r="B7" s="81"/>
      <c r="C7" s="43" t="s">
        <v>5</v>
      </c>
      <c r="D7" s="813">
        <v>7395656</v>
      </c>
      <c r="E7" s="813"/>
      <c r="F7" s="11"/>
      <c r="G7" s="5"/>
      <c r="H7" s="5"/>
      <c r="I7" s="812"/>
      <c r="J7" s="812"/>
      <c r="K7" s="812"/>
      <c r="L7" s="812"/>
      <c r="M7" s="812"/>
      <c r="N7" s="5"/>
      <c r="O7" s="5"/>
      <c r="P7" s="5"/>
      <c r="Q7" s="102"/>
      <c r="R7" s="3"/>
      <c r="S7" s="90"/>
      <c r="T7" s="4" t="s">
        <v>148</v>
      </c>
      <c r="U7" s="3"/>
      <c r="V7" s="3"/>
      <c r="W7" s="3"/>
      <c r="X7" s="54"/>
      <c r="Y7" s="3"/>
      <c r="Z7" s="51"/>
      <c r="AA7" s="3"/>
      <c r="AB7" s="3"/>
      <c r="AC7" s="3"/>
      <c r="AD7" s="3"/>
      <c r="AE7" s="3"/>
      <c r="AF7" s="3"/>
      <c r="AG7" s="18"/>
    </row>
    <row r="8" spans="1:33" ht="39" customHeight="1" x14ac:dyDescent="0.4">
      <c r="A8" s="93"/>
      <c r="B8" s="81"/>
      <c r="C8" s="43" t="s">
        <v>6</v>
      </c>
      <c r="D8" s="814" t="s">
        <v>47</v>
      </c>
      <c r="E8" s="814"/>
      <c r="F8" s="12"/>
      <c r="G8" s="5"/>
      <c r="H8" s="5"/>
      <c r="I8" s="812"/>
      <c r="J8" s="812"/>
      <c r="K8" s="812"/>
      <c r="L8" s="812"/>
      <c r="M8" s="812"/>
      <c r="N8" s="5"/>
      <c r="O8" s="5"/>
      <c r="P8" s="5"/>
      <c r="Q8" s="102"/>
      <c r="R8" s="3"/>
      <c r="S8" s="90"/>
      <c r="T8" s="4"/>
      <c r="U8" s="3"/>
      <c r="V8" s="3"/>
      <c r="W8" s="3"/>
      <c r="X8" s="54"/>
      <c r="Y8" s="3"/>
      <c r="Z8" s="51"/>
      <c r="AA8" s="3"/>
      <c r="AB8" s="3"/>
      <c r="AC8" s="3"/>
      <c r="AD8" s="3"/>
      <c r="AE8" s="3"/>
      <c r="AF8" s="3"/>
      <c r="AG8" s="18"/>
    </row>
    <row r="9" spans="1:33" ht="138.75" customHeight="1" x14ac:dyDescent="0.25">
      <c r="A9" s="93"/>
      <c r="B9" s="81"/>
      <c r="C9" s="43" t="s">
        <v>7</v>
      </c>
      <c r="D9" s="811" t="s">
        <v>606</v>
      </c>
      <c r="E9" s="811"/>
      <c r="F9" s="2"/>
      <c r="G9" s="5"/>
      <c r="H9" s="5"/>
      <c r="I9" s="812"/>
      <c r="J9" s="812"/>
      <c r="K9" s="812"/>
      <c r="L9" s="812"/>
      <c r="M9" s="812"/>
      <c r="N9" s="5"/>
      <c r="O9" s="5"/>
      <c r="P9" s="5"/>
      <c r="Q9" s="102"/>
      <c r="R9" s="665" t="s">
        <v>643</v>
      </c>
      <c r="S9" s="666" t="s">
        <v>639</v>
      </c>
      <c r="T9" s="665" t="s">
        <v>640</v>
      </c>
      <c r="U9" s="665" t="s">
        <v>641</v>
      </c>
      <c r="V9" s="3"/>
      <c r="W9" s="3"/>
      <c r="X9" s="54"/>
      <c r="Y9" s="3"/>
      <c r="Z9" s="51"/>
      <c r="AA9" s="3"/>
      <c r="AB9" s="3"/>
      <c r="AC9" s="3"/>
      <c r="AD9" s="3"/>
      <c r="AE9" s="3"/>
      <c r="AF9" s="3"/>
      <c r="AG9" s="18"/>
    </row>
    <row r="10" spans="1:33" ht="84.6" customHeight="1" x14ac:dyDescent="0.45">
      <c r="A10" s="93"/>
      <c r="B10" s="81"/>
      <c r="C10" s="43" t="s">
        <v>8</v>
      </c>
      <c r="D10" s="819" t="s">
        <v>607</v>
      </c>
      <c r="E10" s="819"/>
      <c r="F10" s="1"/>
      <c r="G10" s="5"/>
      <c r="H10" s="5"/>
      <c r="I10" s="6"/>
      <c r="J10" s="6"/>
      <c r="K10" s="6"/>
      <c r="L10" s="73"/>
      <c r="M10" s="9"/>
      <c r="N10" s="5"/>
      <c r="O10" s="5"/>
      <c r="P10" s="5"/>
      <c r="Q10" s="102"/>
      <c r="R10" s="668" t="s">
        <v>638</v>
      </c>
      <c r="S10" s="667" t="e">
        <f>SUM(#REF!)</f>
        <v>#REF!</v>
      </c>
      <c r="T10" s="672" t="e">
        <f>SUM(#REF!)</f>
        <v>#REF!</v>
      </c>
      <c r="U10" s="672" t="e">
        <f>SUM(#REF!)</f>
        <v>#REF!</v>
      </c>
      <c r="V10" s="3"/>
      <c r="W10" s="3"/>
      <c r="X10" s="54"/>
      <c r="Y10" s="3"/>
      <c r="Z10" s="51"/>
      <c r="AA10" s="3"/>
      <c r="AB10" s="3"/>
      <c r="AC10" s="3"/>
      <c r="AD10" s="3"/>
      <c r="AE10" s="3"/>
      <c r="AF10" s="3"/>
      <c r="AG10" s="18"/>
    </row>
    <row r="11" spans="1:33" ht="48" customHeight="1" x14ac:dyDescent="0.45">
      <c r="A11" s="93"/>
      <c r="B11" s="81"/>
      <c r="C11" s="43" t="s">
        <v>10</v>
      </c>
      <c r="D11" s="820" t="s">
        <v>225</v>
      </c>
      <c r="E11" s="821"/>
      <c r="F11" s="2"/>
      <c r="G11" s="5"/>
      <c r="H11" s="5"/>
      <c r="I11" s="822" t="s">
        <v>11</v>
      </c>
      <c r="J11" s="823"/>
      <c r="K11" s="823"/>
      <c r="L11" s="823"/>
      <c r="M11" s="824"/>
      <c r="N11" s="5"/>
      <c r="O11" s="5"/>
      <c r="P11" s="5"/>
      <c r="Q11" s="102"/>
      <c r="R11" s="668" t="s">
        <v>637</v>
      </c>
      <c r="S11" s="667" t="e">
        <f>SUM(#REF!)</f>
        <v>#REF!</v>
      </c>
      <c r="T11" s="672" t="e">
        <f>SUM(#REF!)</f>
        <v>#REF!</v>
      </c>
      <c r="U11" s="672" t="e">
        <f>SUM(#REF!)</f>
        <v>#REF!</v>
      </c>
      <c r="V11" s="3"/>
      <c r="W11" s="3"/>
      <c r="X11" s="54"/>
      <c r="Y11" s="3"/>
      <c r="Z11" s="51"/>
      <c r="AA11" s="3"/>
      <c r="AB11" s="3"/>
      <c r="AC11" s="3"/>
      <c r="AD11" s="3"/>
      <c r="AE11" s="3"/>
      <c r="AF11" s="3"/>
      <c r="AG11" s="18"/>
    </row>
    <row r="12" spans="1:33" ht="50.45" customHeight="1" x14ac:dyDescent="0.45">
      <c r="A12" s="93"/>
      <c r="B12" s="81"/>
      <c r="C12" s="43" t="s">
        <v>12</v>
      </c>
      <c r="D12" s="899" t="s">
        <v>619</v>
      </c>
      <c r="E12" s="900"/>
      <c r="F12" s="13"/>
      <c r="G12" s="5"/>
      <c r="H12" s="5"/>
      <c r="I12" s="825"/>
      <c r="J12" s="826"/>
      <c r="K12" s="826"/>
      <c r="L12" s="826"/>
      <c r="M12" s="827"/>
      <c r="N12" s="5"/>
      <c r="O12" s="5"/>
      <c r="P12" s="5"/>
      <c r="Q12" s="102"/>
      <c r="R12" s="669" t="s">
        <v>626</v>
      </c>
      <c r="S12" s="670" t="e">
        <f>SUM(S10:S11)</f>
        <v>#REF!</v>
      </c>
      <c r="T12" s="670" t="e">
        <f t="shared" ref="T12:U12" si="0">SUM(T10:T11)</f>
        <v>#REF!</v>
      </c>
      <c r="U12" s="670" t="e">
        <f t="shared" si="0"/>
        <v>#REF!</v>
      </c>
      <c r="V12" s="3"/>
      <c r="W12" s="3"/>
      <c r="X12" s="54"/>
      <c r="Y12" s="3"/>
      <c r="Z12" s="51"/>
      <c r="AA12" s="3"/>
      <c r="AB12" s="3"/>
      <c r="AC12" s="3"/>
      <c r="AD12" s="3"/>
      <c r="AE12" s="3"/>
      <c r="AF12" s="3"/>
      <c r="AG12" s="18"/>
    </row>
    <row r="13" spans="1:33" ht="37.5" x14ac:dyDescent="0.4">
      <c r="A13" s="93"/>
      <c r="B13" s="81"/>
      <c r="C13" s="43" t="s">
        <v>13</v>
      </c>
      <c r="D13" s="833" t="s">
        <v>597</v>
      </c>
      <c r="E13" s="833"/>
      <c r="F13" s="88"/>
      <c r="G13" s="5"/>
      <c r="H13" s="5"/>
      <c r="I13" s="825"/>
      <c r="J13" s="826"/>
      <c r="K13" s="826"/>
      <c r="L13" s="826"/>
      <c r="M13" s="827"/>
      <c r="N13" s="5"/>
      <c r="O13" s="5"/>
      <c r="P13" s="76"/>
      <c r="Q13" s="102"/>
      <c r="R13" s="664"/>
      <c r="S13" s="663"/>
      <c r="T13" s="663" t="s">
        <v>642</v>
      </c>
      <c r="U13" s="671" t="e">
        <f>SUM(S10-T10)</f>
        <v>#REF!</v>
      </c>
      <c r="V13" s="3"/>
      <c r="W13" s="3"/>
      <c r="X13" s="54"/>
      <c r="Y13" s="3"/>
      <c r="Z13" s="51"/>
      <c r="AA13" s="3"/>
      <c r="AB13" s="3"/>
      <c r="AC13" s="3"/>
      <c r="AD13" s="3"/>
      <c r="AE13" s="3"/>
      <c r="AF13" s="3"/>
      <c r="AG13" s="18"/>
    </row>
    <row r="14" spans="1:33" ht="37.5" x14ac:dyDescent="0.4">
      <c r="A14" s="93"/>
      <c r="B14" s="81"/>
      <c r="C14" s="43" t="s">
        <v>14</v>
      </c>
      <c r="D14" s="834" t="s">
        <v>598</v>
      </c>
      <c r="E14" s="834"/>
      <c r="F14" s="88"/>
      <c r="G14" s="5"/>
      <c r="H14" s="5"/>
      <c r="I14" s="825"/>
      <c r="J14" s="826"/>
      <c r="K14" s="826"/>
      <c r="L14" s="826"/>
      <c r="M14" s="827"/>
      <c r="N14" s="5"/>
      <c r="O14" s="5"/>
      <c r="P14" s="5"/>
      <c r="Q14" s="102"/>
      <c r="R14" s="664"/>
      <c r="S14" s="663"/>
      <c r="T14" s="663" t="s">
        <v>642</v>
      </c>
      <c r="U14" s="671" t="e">
        <f>SUM(S11-T11)</f>
        <v>#REF!</v>
      </c>
      <c r="V14" s="3"/>
      <c r="W14" s="3"/>
      <c r="X14" s="54"/>
      <c r="Y14" s="3"/>
      <c r="Z14" s="51"/>
      <c r="AA14" s="3"/>
      <c r="AB14" s="3"/>
      <c r="AC14" s="3"/>
      <c r="AD14" s="3"/>
      <c r="AE14" s="3"/>
      <c r="AF14" s="3"/>
      <c r="AG14" s="18"/>
    </row>
    <row r="15" spans="1:33" ht="38.25" thickBot="1" x14ac:dyDescent="0.45">
      <c r="A15" s="93"/>
      <c r="B15" s="81"/>
      <c r="C15" s="44" t="s">
        <v>15</v>
      </c>
      <c r="D15" s="835">
        <v>43130</v>
      </c>
      <c r="E15" s="836"/>
      <c r="F15" s="89"/>
      <c r="G15" s="5"/>
      <c r="H15" s="5"/>
      <c r="I15" s="828"/>
      <c r="J15" s="829"/>
      <c r="K15" s="829"/>
      <c r="L15" s="829"/>
      <c r="M15" s="830"/>
      <c r="N15" s="5"/>
      <c r="O15" s="5"/>
      <c r="P15" s="5"/>
      <c r="Q15" s="102"/>
      <c r="R15" s="664"/>
      <c r="S15" s="663"/>
      <c r="T15" s="663" t="s">
        <v>642</v>
      </c>
      <c r="U15" s="671" t="e">
        <f>SUM(S12-T12)</f>
        <v>#REF!</v>
      </c>
      <c r="V15" s="3"/>
      <c r="W15" s="3"/>
      <c r="X15" s="54"/>
      <c r="Y15" s="3"/>
      <c r="Z15" s="51"/>
      <c r="AA15" s="3"/>
      <c r="AB15" s="3"/>
      <c r="AC15" s="3"/>
      <c r="AD15" s="3"/>
      <c r="AE15" s="3"/>
      <c r="AF15" s="3"/>
      <c r="AG15" s="18"/>
    </row>
    <row r="16" spans="1:33" ht="26.25" x14ac:dyDescent="0.4">
      <c r="A16" s="93"/>
      <c r="B16" s="81"/>
      <c r="C16" s="2"/>
      <c r="D16" s="20"/>
      <c r="E16" s="7"/>
      <c r="F16" s="7"/>
      <c r="G16" s="5"/>
      <c r="H16" s="5"/>
      <c r="I16" s="76"/>
      <c r="J16" s="14"/>
      <c r="L16" s="74"/>
      <c r="M16" s="41"/>
      <c r="N16" s="5"/>
      <c r="O16" s="5"/>
      <c r="P16" s="79"/>
      <c r="Q16" s="103"/>
      <c r="R16" s="3"/>
      <c r="S16" s="90"/>
      <c r="T16" s="4"/>
      <c r="U16" s="3"/>
      <c r="V16" s="3"/>
      <c r="W16" s="82"/>
      <c r="X16" s="54"/>
      <c r="Y16" s="3"/>
      <c r="Z16" s="51"/>
      <c r="AA16" s="3"/>
      <c r="AB16" s="3"/>
      <c r="AC16" s="3"/>
      <c r="AD16" s="3"/>
      <c r="AE16" s="3"/>
      <c r="AF16" s="3"/>
      <c r="AG16" s="18"/>
    </row>
    <row r="17" spans="1:33" ht="62.25" thickBot="1" x14ac:dyDescent="0.45">
      <c r="A17" s="93"/>
      <c r="B17" s="81"/>
      <c r="C17" s="815" t="s">
        <v>16</v>
      </c>
      <c r="D17" s="815"/>
      <c r="E17" s="5"/>
      <c r="F17" s="674"/>
      <c r="G17" s="901"/>
      <c r="H17" s="901"/>
      <c r="I17" s="5"/>
      <c r="J17" s="674"/>
      <c r="K17" s="688"/>
      <c r="L17" s="83" t="s">
        <v>100</v>
      </c>
      <c r="M17" s="84" t="s">
        <v>287</v>
      </c>
      <c r="N17" s="5"/>
      <c r="O17" s="5"/>
      <c r="P17" s="16"/>
      <c r="Q17" s="104"/>
      <c r="R17" s="3"/>
      <c r="S17" s="90"/>
      <c r="T17" s="4"/>
      <c r="U17" s="3"/>
      <c r="V17" s="3"/>
      <c r="W17" s="15"/>
      <c r="X17" s="55"/>
      <c r="Y17" s="15"/>
      <c r="Z17" s="86" t="s">
        <v>92</v>
      </c>
      <c r="AA17" s="3"/>
      <c r="AB17" s="3"/>
      <c r="AC17" s="3"/>
      <c r="AD17" s="3"/>
      <c r="AE17" s="3"/>
      <c r="AF17" s="3"/>
      <c r="AG17" s="18"/>
    </row>
    <row r="18" spans="1:33" ht="36" x14ac:dyDescent="0.4">
      <c r="A18" s="93"/>
      <c r="B18" s="81"/>
      <c r="C18" s="40"/>
      <c r="D18" s="21"/>
      <c r="E18" s="5"/>
      <c r="F18" s="675"/>
      <c r="G18" s="902"/>
      <c r="H18" s="902"/>
      <c r="I18" s="5"/>
      <c r="J18" s="675"/>
      <c r="K18" s="689"/>
      <c r="L18" s="609">
        <f>SUBTOTAL(9,L20:L274)</f>
        <v>12536188519.016001</v>
      </c>
      <c r="M18" s="609">
        <f>SUBTOTAL(9,M20:M274)</f>
        <v>9675375540</v>
      </c>
      <c r="N18" s="609"/>
      <c r="O18" s="5"/>
      <c r="P18" s="5"/>
      <c r="Q18" s="102"/>
      <c r="R18" s="3"/>
      <c r="S18" s="90"/>
      <c r="T18" s="4"/>
      <c r="U18" s="3"/>
      <c r="V18" s="3"/>
      <c r="W18" s="609">
        <f>SUBTOTAL(9,W20:W274)</f>
        <v>6674039795.5299997</v>
      </c>
      <c r="X18" s="609">
        <f>SUBTOTAL(9,X20:X274)</f>
        <v>0</v>
      </c>
      <c r="Y18" s="609">
        <f>SUBTOTAL(9,Y20:Y274)</f>
        <v>6674039795.5299997</v>
      </c>
      <c r="Z18" s="609">
        <f>SUBTOTAL(9,Z20:Z274)</f>
        <v>6674039795.5299997</v>
      </c>
      <c r="AA18" s="75"/>
      <c r="AB18" s="75"/>
      <c r="AC18" s="3"/>
      <c r="AD18" s="3"/>
      <c r="AE18" s="3"/>
      <c r="AF18" s="3"/>
      <c r="AG18" s="18"/>
    </row>
    <row r="19" spans="1:33" ht="126" customHeight="1" x14ac:dyDescent="0.25">
      <c r="A19" s="592" t="s">
        <v>299</v>
      </c>
      <c r="B19" s="592" t="s">
        <v>300</v>
      </c>
      <c r="C19" s="592" t="s">
        <v>17</v>
      </c>
      <c r="D19" s="592" t="s">
        <v>175</v>
      </c>
      <c r="E19" s="592" t="s">
        <v>160</v>
      </c>
      <c r="F19" s="673" t="s">
        <v>159</v>
      </c>
      <c r="G19" s="673" t="s">
        <v>18</v>
      </c>
      <c r="H19" s="673" t="s">
        <v>138</v>
      </c>
      <c r="I19" s="592" t="s">
        <v>19</v>
      </c>
      <c r="J19" s="673" t="s">
        <v>20</v>
      </c>
      <c r="K19" s="673" t="s">
        <v>189</v>
      </c>
      <c r="L19" s="610" t="s">
        <v>190</v>
      </c>
      <c r="M19" s="611" t="s">
        <v>191</v>
      </c>
      <c r="N19" s="592" t="s">
        <v>192</v>
      </c>
      <c r="O19" s="592" t="s">
        <v>21</v>
      </c>
      <c r="P19" s="592" t="s">
        <v>22</v>
      </c>
      <c r="Q19" s="593"/>
      <c r="R19" s="594" t="s">
        <v>23</v>
      </c>
      <c r="S19" s="594" t="s">
        <v>164</v>
      </c>
      <c r="T19" s="595" t="s">
        <v>24</v>
      </c>
      <c r="U19" s="594" t="s">
        <v>25</v>
      </c>
      <c r="V19" s="594" t="s">
        <v>26</v>
      </c>
      <c r="W19" s="596" t="s">
        <v>271</v>
      </c>
      <c r="X19" s="596" t="s">
        <v>182</v>
      </c>
      <c r="Y19" s="596" t="s">
        <v>163</v>
      </c>
      <c r="Z19" s="597" t="s">
        <v>1267</v>
      </c>
      <c r="AA19" s="594" t="s">
        <v>27</v>
      </c>
      <c r="AB19" s="594" t="s">
        <v>1266</v>
      </c>
      <c r="AC19" s="594" t="s">
        <v>31</v>
      </c>
      <c r="AD19" s="594" t="s">
        <v>32</v>
      </c>
      <c r="AE19" s="594" t="s">
        <v>33</v>
      </c>
      <c r="AF19" s="594" t="s">
        <v>86</v>
      </c>
      <c r="AG19" s="598" t="s">
        <v>34</v>
      </c>
    </row>
    <row r="20" spans="1:33" ht="175.5" x14ac:dyDescent="0.25">
      <c r="A20" s="690">
        <v>1</v>
      </c>
      <c r="B20" s="691" t="s">
        <v>264</v>
      </c>
      <c r="C20" s="692">
        <v>78181701</v>
      </c>
      <c r="D20" s="693" t="s">
        <v>219</v>
      </c>
      <c r="E20" s="691" t="s">
        <v>48</v>
      </c>
      <c r="F20" s="691">
        <v>1</v>
      </c>
      <c r="G20" s="694" t="s">
        <v>73</v>
      </c>
      <c r="H20" s="695" t="s">
        <v>604</v>
      </c>
      <c r="I20" s="691" t="s">
        <v>50</v>
      </c>
      <c r="J20" s="691" t="s">
        <v>35</v>
      </c>
      <c r="K20" s="691" t="s">
        <v>158</v>
      </c>
      <c r="L20" s="696">
        <v>40000000</v>
      </c>
      <c r="M20" s="697">
        <v>40000000</v>
      </c>
      <c r="N20" s="691" t="s">
        <v>51</v>
      </c>
      <c r="O20" s="691" t="s">
        <v>36</v>
      </c>
      <c r="P20" s="691" t="s">
        <v>320</v>
      </c>
      <c r="Q20" s="80"/>
      <c r="R20" s="698" t="str">
        <f>+IFERROR(VLOOKUP($A20,'[4]SEGUIMIENTO CONTRATOS 2018'!$A:$AJ,2,0)," ")</f>
        <v>046-2018</v>
      </c>
      <c r="S20" s="698" t="str">
        <f>+IFERROR(VLOOKUP($A20,'[4]SEGUIMIENTO CONTRATOS 2018'!$A:$AJ,3,0)," ")</f>
        <v>ORGANIZACIÓN TERPEL S.A.</v>
      </c>
      <c r="T20" s="751">
        <f>+IFERROR(VLOOKUP($A20,'[4]SEGUIMIENTO CONTRATOS 2018'!$A:$AJ,8,0)," ")</f>
        <v>43109</v>
      </c>
      <c r="U20" s="698" t="str">
        <f>+IFERROR(VLOOKUP($A20,'[4]SEGUIMIENTO CONTRATOS 2018'!$A:$AJ,9,0)," ")</f>
        <v>Abastecer gasolina corriente para el normal funcionamiento de los vehiculos del Departamento Administrativo de la Función Pública, de conformidad con los lineamientos establecidos en el Acuerdo Marco de Precios para suministro de combustible, con sistema de control EDS de Colombia Compra Eficiente,</v>
      </c>
      <c r="V20" s="698" t="str">
        <f>+IFERROR(VLOOKUP($A20,'[4]SEGUIMIENTO CONTRATOS 2018'!$A:$AJ,11,0)," ")</f>
        <v xml:space="preserve">PRESTACION DE SERVICIOS </v>
      </c>
      <c r="W20" s="752">
        <f>+IFERROR(VLOOKUP($A20,'[4]SEGUIMIENTO CONTRATOS 2018'!$A:$AJ,13,0),0)</f>
        <v>40000000</v>
      </c>
      <c r="X20" s="698">
        <f>+IFERROR(VLOOKUP($A20,'[4]SEGUIMIENTO CONTRATOS 2018'!$A:$AJ,14,0),0)</f>
        <v>0</v>
      </c>
      <c r="Y20" s="752">
        <f>+IFERROR(VLOOKUP($A20,'[4]SEGUIMIENTO CONTRATOS 2018'!$A:$AJ,15,0),0)</f>
        <v>40000000</v>
      </c>
      <c r="Z20" s="752">
        <f>+IFERROR(VLOOKUP($A20,'[4]SEGUIMIENTO CONTRATOS 2018'!$A:$AJ,15,0),0)</f>
        <v>40000000</v>
      </c>
      <c r="AA20" s="698" t="str">
        <f>+IFERROR(VLOOKUP($A20,'[4]SEGUIMIENTO CONTRATOS 2018'!$A:$AJ,16,0)," ")</f>
        <v>Función Pública pagará el valor del contrato de conformidad con las condiciones que se encuentren establecidos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mismo.</v>
      </c>
      <c r="AB20" s="698" t="str">
        <f>+IFERROR(VLOOKUP($A20,'[4]SEGUIMIENTO CONTRATOS 2018'!$A:$AL,38,0)," ")</f>
        <v xml:space="preserve">8018 </v>
      </c>
      <c r="AC20" s="698" t="str">
        <f>+IFERROR(VLOOKUP($A20,'[4]SEGUIMIENTO CONTRATOS 2018'!$A:$AJ,24,0)," ")</f>
        <v>Hasta el treinta (30) de noviembre de 2018, previo registro presupuestal y demas condiciones establecidas en el Acuerdo Marco de Precios suscrito por Colombia Compra Eficiente.</v>
      </c>
      <c r="AD20" s="751">
        <f>+IFERROR(VLOOKUP($A20,'[4]SEGUIMIENTO CONTRATOS 2018'!$A:$AJ,25,0)," ")</f>
        <v>43109</v>
      </c>
      <c r="AE20" s="751">
        <f>+IFERROR(VLOOKUP($A20,'[4]SEGUIMIENTO CONTRATOS 2018'!$A:$AJ,26,0)," ")</f>
        <v>43434</v>
      </c>
      <c r="AF20" s="698" t="str">
        <f>+IFERROR(VLOOKUP($A20,'[4]SEGUIMIENTO CONTRATOS 2018'!$A:$AJ,30,0)," ")</f>
        <v>IVAN ADOLFO MORANTES MOJICA</v>
      </c>
      <c r="AG20" s="698" t="str">
        <f>+IFERROR(VLOOKUP($A20,'[4]SEGUIMIENTO CONTRATOS 2018'!$A:$AJ,31,0)," ")</f>
        <v xml:space="preserve">GRUPO DE GESTION ADMINISTRATIVA </v>
      </c>
    </row>
    <row r="21" spans="1:33" ht="93" x14ac:dyDescent="0.25">
      <c r="A21" s="599">
        <f>1+A20</f>
        <v>2</v>
      </c>
      <c r="B21" s="600" t="s">
        <v>264</v>
      </c>
      <c r="C21" s="687">
        <v>25172504</v>
      </c>
      <c r="D21" s="602" t="s">
        <v>52</v>
      </c>
      <c r="E21" s="600" t="s">
        <v>48</v>
      </c>
      <c r="F21" s="600">
        <v>1</v>
      </c>
      <c r="G21" s="603" t="s">
        <v>79</v>
      </c>
      <c r="H21" s="604" t="s">
        <v>156</v>
      </c>
      <c r="I21" s="600" t="s">
        <v>53</v>
      </c>
      <c r="J21" s="600" t="s">
        <v>35</v>
      </c>
      <c r="K21" s="600" t="s">
        <v>54</v>
      </c>
      <c r="L21" s="605">
        <v>4000000</v>
      </c>
      <c r="M21" s="606">
        <v>4000000</v>
      </c>
      <c r="N21" s="600" t="s">
        <v>51</v>
      </c>
      <c r="O21" s="600" t="s">
        <v>36</v>
      </c>
      <c r="P21" s="600" t="s">
        <v>320</v>
      </c>
      <c r="Q21" s="80"/>
      <c r="R21" s="707" t="str">
        <f>+IFERROR(VLOOKUP($A21,'[4]SEGUIMIENTO CONTRATOS 2018'!$A:$AJ,2,0)," ")</f>
        <v xml:space="preserve"> </v>
      </c>
      <c r="S21" s="707" t="str">
        <f>+IFERROR(VLOOKUP($A21,'[4]SEGUIMIENTO CONTRATOS 2018'!$A:$AJ,3,0)," ")</f>
        <v xml:space="preserve"> </v>
      </c>
      <c r="T21" s="789" t="str">
        <f>+IFERROR(VLOOKUP($A21,'[4]SEGUIMIENTO CONTRATOS 2018'!$A:$AJ,8,0)," ")</f>
        <v xml:space="preserve"> </v>
      </c>
      <c r="U21" s="707" t="str">
        <f>+IFERROR(VLOOKUP($A21,'[4]SEGUIMIENTO CONTRATOS 2018'!$A:$AJ,9,0)," ")</f>
        <v xml:space="preserve"> </v>
      </c>
      <c r="V21" s="707" t="str">
        <f>+IFERROR(VLOOKUP($A21,'[4]SEGUIMIENTO CONTRATOS 2018'!$A:$AJ,11,0)," ")</f>
        <v xml:space="preserve"> </v>
      </c>
      <c r="W21" s="790">
        <f>+IFERROR(VLOOKUP($A21,'[4]SEGUIMIENTO CONTRATOS 2018'!$A:$AJ,13,0),0)</f>
        <v>0</v>
      </c>
      <c r="X21" s="707">
        <f>+IFERROR(VLOOKUP($A21,'[4]SEGUIMIENTO CONTRATOS 2018'!$A:$AJ,14,0),0)</f>
        <v>0</v>
      </c>
      <c r="Y21" s="790">
        <f>+IFERROR(VLOOKUP($A21,'[4]SEGUIMIENTO CONTRATOS 2018'!$A:$AJ,15,0),0)</f>
        <v>0</v>
      </c>
      <c r="Z21" s="790">
        <f>+IFERROR(VLOOKUP($A21,'[4]SEGUIMIENTO CONTRATOS 2018'!$A:$AJ,15,0),0)</f>
        <v>0</v>
      </c>
      <c r="AA21" s="707" t="str">
        <f>+IFERROR(VLOOKUP($A21,'[4]SEGUIMIENTO CONTRATOS 2018'!$A:$AJ,16,0)," ")</f>
        <v xml:space="preserve"> </v>
      </c>
      <c r="AB21" s="707" t="str">
        <f>+IFERROR(VLOOKUP($A21,'[4]SEGUIMIENTO CONTRATOS 2018'!$A:$AL,38,0)," ")</f>
        <v xml:space="preserve"> </v>
      </c>
      <c r="AC21" s="707" t="str">
        <f>+IFERROR(VLOOKUP($A21,'[4]SEGUIMIENTO CONTRATOS 2018'!$A:$AJ,24,0)," ")</f>
        <v xml:space="preserve"> </v>
      </c>
      <c r="AD21" s="789" t="str">
        <f>+IFERROR(VLOOKUP($A21,'[4]SEGUIMIENTO CONTRATOS 2018'!$A:$AJ,25,0)," ")</f>
        <v xml:space="preserve"> </v>
      </c>
      <c r="AE21" s="789" t="str">
        <f>+IFERROR(VLOOKUP($A21,'[4]SEGUIMIENTO CONTRATOS 2018'!$A:$AJ,26,0)," ")</f>
        <v xml:space="preserve"> </v>
      </c>
      <c r="AF21" s="707" t="str">
        <f>+IFERROR(VLOOKUP($A21,'[4]SEGUIMIENTO CONTRATOS 2018'!$A:$AJ,30,0)," ")</f>
        <v xml:space="preserve"> </v>
      </c>
      <c r="AG21" s="707" t="str">
        <f>+IFERROR(VLOOKUP($A21,'[4]SEGUIMIENTO CONTRATOS 2018'!$A:$AJ,31,0)," ")</f>
        <v xml:space="preserve"> </v>
      </c>
    </row>
    <row r="22" spans="1:33" ht="255" customHeight="1" x14ac:dyDescent="0.25">
      <c r="A22" s="599">
        <f>SUM(A21+1)</f>
        <v>3</v>
      </c>
      <c r="B22" s="600" t="s">
        <v>264</v>
      </c>
      <c r="C22" s="687" t="s">
        <v>67</v>
      </c>
      <c r="D22" s="602" t="s">
        <v>40</v>
      </c>
      <c r="E22" s="600" t="s">
        <v>48</v>
      </c>
      <c r="F22" s="600">
        <v>1</v>
      </c>
      <c r="G22" s="603" t="s">
        <v>76</v>
      </c>
      <c r="H22" s="604">
        <v>2</v>
      </c>
      <c r="I22" s="600" t="s">
        <v>173</v>
      </c>
      <c r="J22" s="600" t="s">
        <v>35</v>
      </c>
      <c r="K22" s="600" t="s">
        <v>41</v>
      </c>
      <c r="L22" s="605">
        <v>40000000</v>
      </c>
      <c r="M22" s="606">
        <v>40000000</v>
      </c>
      <c r="N22" s="600" t="s">
        <v>51</v>
      </c>
      <c r="O22" s="600" t="s">
        <v>36</v>
      </c>
      <c r="P22" s="600" t="s">
        <v>320</v>
      </c>
      <c r="Q22" s="80"/>
      <c r="R22" s="707" t="str">
        <f>+IFERROR(VLOOKUP($A22,'[4]SEGUIMIENTO CONTRATOS 2018'!$A:$AJ,2,0)," ")</f>
        <v xml:space="preserve"> </v>
      </c>
      <c r="S22" s="707" t="str">
        <f>+IFERROR(VLOOKUP($A22,'[4]SEGUIMIENTO CONTRATOS 2018'!$A:$AJ,3,0)," ")</f>
        <v xml:space="preserve"> </v>
      </c>
      <c r="T22" s="789" t="str">
        <f>+IFERROR(VLOOKUP($A22,'[4]SEGUIMIENTO CONTRATOS 2018'!$A:$AJ,8,0)," ")</f>
        <v xml:space="preserve"> </v>
      </c>
      <c r="U22" s="707" t="str">
        <f>+IFERROR(VLOOKUP($A22,'[4]SEGUIMIENTO CONTRATOS 2018'!$A:$AJ,9,0)," ")</f>
        <v xml:space="preserve"> </v>
      </c>
      <c r="V22" s="707" t="str">
        <f>+IFERROR(VLOOKUP($A22,'[4]SEGUIMIENTO CONTRATOS 2018'!$A:$AJ,11,0)," ")</f>
        <v xml:space="preserve"> </v>
      </c>
      <c r="W22" s="790">
        <f>+IFERROR(VLOOKUP($A22,'[4]SEGUIMIENTO CONTRATOS 2018'!$A:$AJ,13,0),0)</f>
        <v>0</v>
      </c>
      <c r="X22" s="707">
        <f>+IFERROR(VLOOKUP($A22,'[4]SEGUIMIENTO CONTRATOS 2018'!$A:$AJ,14,0),0)</f>
        <v>0</v>
      </c>
      <c r="Y22" s="790">
        <f>+IFERROR(VLOOKUP($A22,'[4]SEGUIMIENTO CONTRATOS 2018'!$A:$AJ,15,0),0)</f>
        <v>0</v>
      </c>
      <c r="Z22" s="790">
        <f>+IFERROR(VLOOKUP($A22,'[4]SEGUIMIENTO CONTRATOS 2018'!$A:$AJ,15,0),0)</f>
        <v>0</v>
      </c>
      <c r="AA22" s="707" t="str">
        <f>+IFERROR(VLOOKUP($A22,'[4]SEGUIMIENTO CONTRATOS 2018'!$A:$AJ,16,0)," ")</f>
        <v xml:space="preserve"> </v>
      </c>
      <c r="AB22" s="707" t="str">
        <f>+IFERROR(VLOOKUP($A22,'[4]SEGUIMIENTO CONTRATOS 2018'!$A:$AL,38,0)," ")</f>
        <v xml:space="preserve"> </v>
      </c>
      <c r="AC22" s="707" t="str">
        <f>+IFERROR(VLOOKUP($A22,'[4]SEGUIMIENTO CONTRATOS 2018'!$A:$AJ,24,0)," ")</f>
        <v xml:space="preserve"> </v>
      </c>
      <c r="AD22" s="789" t="str">
        <f>+IFERROR(VLOOKUP($A22,'[4]SEGUIMIENTO CONTRATOS 2018'!$A:$AJ,25,0)," ")</f>
        <v xml:space="preserve"> </v>
      </c>
      <c r="AE22" s="789" t="str">
        <f>+IFERROR(VLOOKUP($A22,'[4]SEGUIMIENTO CONTRATOS 2018'!$A:$AJ,26,0)," ")</f>
        <v xml:space="preserve"> </v>
      </c>
      <c r="AF22" s="707" t="str">
        <f>+IFERROR(VLOOKUP($A22,'[4]SEGUIMIENTO CONTRATOS 2018'!$A:$AJ,30,0)," ")</f>
        <v xml:space="preserve"> </v>
      </c>
      <c r="AG22" s="707" t="str">
        <f>+IFERROR(VLOOKUP($A22,'[4]SEGUIMIENTO CONTRATOS 2018'!$A:$AJ,31,0)," ")</f>
        <v xml:space="preserve"> </v>
      </c>
    </row>
    <row r="23" spans="1:33" ht="93" x14ac:dyDescent="0.25">
      <c r="A23" s="599">
        <f>SUM(A22+1)</f>
        <v>4</v>
      </c>
      <c r="B23" s="600" t="s">
        <v>264</v>
      </c>
      <c r="C23" s="687">
        <v>44103103</v>
      </c>
      <c r="D23" s="602" t="s">
        <v>201</v>
      </c>
      <c r="E23" s="600" t="s">
        <v>48</v>
      </c>
      <c r="F23" s="600">
        <v>1</v>
      </c>
      <c r="G23" s="603" t="s">
        <v>75</v>
      </c>
      <c r="H23" s="604" t="s">
        <v>157</v>
      </c>
      <c r="I23" s="600" t="s">
        <v>173</v>
      </c>
      <c r="J23" s="600" t="s">
        <v>35</v>
      </c>
      <c r="K23" s="600" t="s">
        <v>41</v>
      </c>
      <c r="L23" s="605">
        <v>55000000</v>
      </c>
      <c r="M23" s="606">
        <v>55000000</v>
      </c>
      <c r="N23" s="600" t="s">
        <v>51</v>
      </c>
      <c r="O23" s="600" t="s">
        <v>36</v>
      </c>
      <c r="P23" s="600" t="s">
        <v>320</v>
      </c>
      <c r="Q23" s="80"/>
      <c r="R23" s="707" t="str">
        <f>+IFERROR(VLOOKUP($A23,'[4]SEGUIMIENTO CONTRATOS 2018'!$A:$AJ,2,0)," ")</f>
        <v xml:space="preserve"> </v>
      </c>
      <c r="S23" s="707" t="str">
        <f>+IFERROR(VLOOKUP($A23,'[4]SEGUIMIENTO CONTRATOS 2018'!$A:$AJ,3,0)," ")</f>
        <v xml:space="preserve"> </v>
      </c>
      <c r="T23" s="789" t="str">
        <f>+IFERROR(VLOOKUP($A23,'[4]SEGUIMIENTO CONTRATOS 2018'!$A:$AJ,8,0)," ")</f>
        <v xml:space="preserve"> </v>
      </c>
      <c r="U23" s="707" t="str">
        <f>+IFERROR(VLOOKUP($A23,'[4]SEGUIMIENTO CONTRATOS 2018'!$A:$AJ,9,0)," ")</f>
        <v xml:space="preserve"> </v>
      </c>
      <c r="V23" s="707" t="str">
        <f>+IFERROR(VLOOKUP($A23,'[4]SEGUIMIENTO CONTRATOS 2018'!$A:$AJ,11,0)," ")</f>
        <v xml:space="preserve"> </v>
      </c>
      <c r="W23" s="790">
        <f>+IFERROR(VLOOKUP($A23,'[4]SEGUIMIENTO CONTRATOS 2018'!$A:$AJ,13,0),0)</f>
        <v>0</v>
      </c>
      <c r="X23" s="707">
        <f>+IFERROR(VLOOKUP($A23,'[4]SEGUIMIENTO CONTRATOS 2018'!$A:$AJ,14,0),0)</f>
        <v>0</v>
      </c>
      <c r="Y23" s="790">
        <f>+IFERROR(VLOOKUP($A23,'[4]SEGUIMIENTO CONTRATOS 2018'!$A:$AJ,15,0),0)</f>
        <v>0</v>
      </c>
      <c r="Z23" s="790">
        <f>+IFERROR(VLOOKUP($A23,'[4]SEGUIMIENTO CONTRATOS 2018'!$A:$AJ,15,0),0)</f>
        <v>0</v>
      </c>
      <c r="AA23" s="707" t="str">
        <f>+IFERROR(VLOOKUP($A23,'[4]SEGUIMIENTO CONTRATOS 2018'!$A:$AJ,16,0)," ")</f>
        <v xml:space="preserve"> </v>
      </c>
      <c r="AB23" s="707" t="str">
        <f>+IFERROR(VLOOKUP($A23,'[4]SEGUIMIENTO CONTRATOS 2018'!$A:$AL,38,0)," ")</f>
        <v xml:space="preserve"> </v>
      </c>
      <c r="AC23" s="707" t="str">
        <f>+IFERROR(VLOOKUP($A23,'[4]SEGUIMIENTO CONTRATOS 2018'!$A:$AJ,24,0)," ")</f>
        <v xml:space="preserve"> </v>
      </c>
      <c r="AD23" s="789" t="str">
        <f>+IFERROR(VLOOKUP($A23,'[4]SEGUIMIENTO CONTRATOS 2018'!$A:$AJ,25,0)," ")</f>
        <v xml:space="preserve"> </v>
      </c>
      <c r="AE23" s="789" t="str">
        <f>+IFERROR(VLOOKUP($A23,'[4]SEGUIMIENTO CONTRATOS 2018'!$A:$AJ,26,0)," ")</f>
        <v xml:space="preserve"> </v>
      </c>
      <c r="AF23" s="707" t="str">
        <f>+IFERROR(VLOOKUP($A23,'[4]SEGUIMIENTO CONTRATOS 2018'!$A:$AJ,30,0)," ")</f>
        <v xml:space="preserve"> </v>
      </c>
      <c r="AG23" s="707" t="str">
        <f>+IFERROR(VLOOKUP($A23,'[4]SEGUIMIENTO CONTRATOS 2018'!$A:$AJ,31,0)," ")</f>
        <v xml:space="preserve"> </v>
      </c>
    </row>
    <row r="24" spans="1:33" ht="93" x14ac:dyDescent="0.25">
      <c r="A24" s="599">
        <f>SUM(A23+1)</f>
        <v>5</v>
      </c>
      <c r="B24" s="600" t="s">
        <v>264</v>
      </c>
      <c r="C24" s="687">
        <v>44103104</v>
      </c>
      <c r="D24" s="602" t="s">
        <v>201</v>
      </c>
      <c r="E24" s="600" t="s">
        <v>48</v>
      </c>
      <c r="F24" s="600">
        <v>1</v>
      </c>
      <c r="G24" s="603" t="s">
        <v>75</v>
      </c>
      <c r="H24" s="604" t="s">
        <v>157</v>
      </c>
      <c r="I24" s="600" t="s">
        <v>305</v>
      </c>
      <c r="J24" s="600" t="s">
        <v>35</v>
      </c>
      <c r="K24" s="600" t="s">
        <v>41</v>
      </c>
      <c r="L24" s="605">
        <v>55000000</v>
      </c>
      <c r="M24" s="606">
        <v>55000000</v>
      </c>
      <c r="N24" s="600" t="s">
        <v>51</v>
      </c>
      <c r="O24" s="600" t="s">
        <v>36</v>
      </c>
      <c r="P24" s="600" t="s">
        <v>320</v>
      </c>
      <c r="Q24" s="80"/>
      <c r="R24" s="707" t="str">
        <f>+IFERROR(VLOOKUP($A24,'[4]SEGUIMIENTO CONTRATOS 2018'!$A:$AJ,2,0)," ")</f>
        <v xml:space="preserve"> </v>
      </c>
      <c r="S24" s="707" t="str">
        <f>+IFERROR(VLOOKUP($A24,'[4]SEGUIMIENTO CONTRATOS 2018'!$A:$AJ,3,0)," ")</f>
        <v xml:space="preserve"> </v>
      </c>
      <c r="T24" s="789" t="str">
        <f>+IFERROR(VLOOKUP($A24,'[4]SEGUIMIENTO CONTRATOS 2018'!$A:$AJ,8,0)," ")</f>
        <v xml:space="preserve"> </v>
      </c>
      <c r="U24" s="707" t="str">
        <f>+IFERROR(VLOOKUP($A24,'[4]SEGUIMIENTO CONTRATOS 2018'!$A:$AJ,9,0)," ")</f>
        <v xml:space="preserve"> </v>
      </c>
      <c r="V24" s="707" t="str">
        <f>+IFERROR(VLOOKUP($A24,'[4]SEGUIMIENTO CONTRATOS 2018'!$A:$AJ,11,0)," ")</f>
        <v xml:space="preserve"> </v>
      </c>
      <c r="W24" s="790">
        <f>+IFERROR(VLOOKUP($A24,'[4]SEGUIMIENTO CONTRATOS 2018'!$A:$AJ,13,0),0)</f>
        <v>0</v>
      </c>
      <c r="X24" s="707">
        <f>+IFERROR(VLOOKUP($A24,'[4]SEGUIMIENTO CONTRATOS 2018'!$A:$AJ,14,0),0)</f>
        <v>0</v>
      </c>
      <c r="Y24" s="790">
        <f>+IFERROR(VLOOKUP($A24,'[4]SEGUIMIENTO CONTRATOS 2018'!$A:$AJ,15,0),0)</f>
        <v>0</v>
      </c>
      <c r="Z24" s="790">
        <f>+IFERROR(VLOOKUP($A24,'[4]SEGUIMIENTO CONTRATOS 2018'!$A:$AJ,15,0),0)</f>
        <v>0</v>
      </c>
      <c r="AA24" s="707" t="str">
        <f>+IFERROR(VLOOKUP($A24,'[4]SEGUIMIENTO CONTRATOS 2018'!$A:$AJ,16,0)," ")</f>
        <v xml:space="preserve"> </v>
      </c>
      <c r="AB24" s="707" t="str">
        <f>+IFERROR(VLOOKUP($A24,'[4]SEGUIMIENTO CONTRATOS 2018'!$A:$AL,38,0)," ")</f>
        <v xml:space="preserve"> </v>
      </c>
      <c r="AC24" s="707" t="str">
        <f>+IFERROR(VLOOKUP($A24,'[4]SEGUIMIENTO CONTRATOS 2018'!$A:$AJ,24,0)," ")</f>
        <v xml:space="preserve"> </v>
      </c>
      <c r="AD24" s="789" t="str">
        <f>+IFERROR(VLOOKUP($A24,'[4]SEGUIMIENTO CONTRATOS 2018'!$A:$AJ,25,0)," ")</f>
        <v xml:space="preserve"> </v>
      </c>
      <c r="AE24" s="789" t="str">
        <f>+IFERROR(VLOOKUP($A24,'[4]SEGUIMIENTO CONTRATOS 2018'!$A:$AJ,26,0)," ")</f>
        <v xml:space="preserve"> </v>
      </c>
      <c r="AF24" s="707" t="str">
        <f>+IFERROR(VLOOKUP($A24,'[4]SEGUIMIENTO CONTRATOS 2018'!$A:$AJ,30,0)," ")</f>
        <v xml:space="preserve"> </v>
      </c>
      <c r="AG24" s="707" t="str">
        <f>+IFERROR(VLOOKUP($A24,'[4]SEGUIMIENTO CONTRATOS 2018'!$A:$AJ,31,0)," ")</f>
        <v xml:space="preserve"> </v>
      </c>
    </row>
    <row r="25" spans="1:33" ht="165" customHeight="1" x14ac:dyDescent="0.25">
      <c r="A25" s="599">
        <f t="shared" ref="A25:A89" si="1">SUM(A24+1)</f>
        <v>6</v>
      </c>
      <c r="B25" s="600" t="s">
        <v>264</v>
      </c>
      <c r="C25" s="687">
        <v>72101506</v>
      </c>
      <c r="D25" s="602" t="s">
        <v>304</v>
      </c>
      <c r="E25" s="600" t="s">
        <v>48</v>
      </c>
      <c r="F25" s="600">
        <v>1</v>
      </c>
      <c r="G25" s="603" t="s">
        <v>75</v>
      </c>
      <c r="H25" s="604" t="s">
        <v>284</v>
      </c>
      <c r="I25" s="600" t="s">
        <v>55</v>
      </c>
      <c r="J25" s="600" t="s">
        <v>35</v>
      </c>
      <c r="K25" s="600" t="s">
        <v>46</v>
      </c>
      <c r="L25" s="605">
        <v>3000000</v>
      </c>
      <c r="M25" s="606">
        <v>3000000</v>
      </c>
      <c r="N25" s="600" t="s">
        <v>51</v>
      </c>
      <c r="O25" s="600" t="s">
        <v>36</v>
      </c>
      <c r="P25" s="600" t="s">
        <v>320</v>
      </c>
      <c r="Q25" s="80"/>
      <c r="R25" s="707" t="str">
        <f>+IFERROR(VLOOKUP($A25,'[4]SEGUIMIENTO CONTRATOS 2018'!$A:$AJ,2,0)," ")</f>
        <v xml:space="preserve"> </v>
      </c>
      <c r="S25" s="707" t="str">
        <f>+IFERROR(VLOOKUP($A25,'[4]SEGUIMIENTO CONTRATOS 2018'!$A:$AJ,3,0)," ")</f>
        <v xml:space="preserve"> </v>
      </c>
      <c r="T25" s="789" t="str">
        <f>+IFERROR(VLOOKUP($A25,'[4]SEGUIMIENTO CONTRATOS 2018'!$A:$AJ,8,0)," ")</f>
        <v xml:space="preserve"> </v>
      </c>
      <c r="U25" s="707" t="str">
        <f>+IFERROR(VLOOKUP($A25,'[4]SEGUIMIENTO CONTRATOS 2018'!$A:$AJ,9,0)," ")</f>
        <v xml:space="preserve"> </v>
      </c>
      <c r="V25" s="707" t="str">
        <f>+IFERROR(VLOOKUP($A25,'[4]SEGUIMIENTO CONTRATOS 2018'!$A:$AJ,11,0)," ")</f>
        <v xml:space="preserve"> </v>
      </c>
      <c r="W25" s="790">
        <f>+IFERROR(VLOOKUP($A25,'[4]SEGUIMIENTO CONTRATOS 2018'!$A:$AJ,13,0),0)</f>
        <v>0</v>
      </c>
      <c r="X25" s="707">
        <f>+IFERROR(VLOOKUP($A25,'[4]SEGUIMIENTO CONTRATOS 2018'!$A:$AJ,14,0),0)</f>
        <v>0</v>
      </c>
      <c r="Y25" s="790">
        <f>+IFERROR(VLOOKUP($A25,'[4]SEGUIMIENTO CONTRATOS 2018'!$A:$AJ,15,0),0)</f>
        <v>0</v>
      </c>
      <c r="Z25" s="790">
        <f>+IFERROR(VLOOKUP($A25,'[4]SEGUIMIENTO CONTRATOS 2018'!$A:$AJ,15,0),0)</f>
        <v>0</v>
      </c>
      <c r="AA25" s="707" t="str">
        <f>+IFERROR(VLOOKUP($A25,'[4]SEGUIMIENTO CONTRATOS 2018'!$A:$AJ,16,0)," ")</f>
        <v xml:space="preserve"> </v>
      </c>
      <c r="AB25" s="707" t="str">
        <f>+IFERROR(VLOOKUP($A25,'[4]SEGUIMIENTO CONTRATOS 2018'!$A:$AL,38,0)," ")</f>
        <v xml:space="preserve"> </v>
      </c>
      <c r="AC25" s="707" t="str">
        <f>+IFERROR(VLOOKUP($A25,'[4]SEGUIMIENTO CONTRATOS 2018'!$A:$AJ,24,0)," ")</f>
        <v xml:space="preserve"> </v>
      </c>
      <c r="AD25" s="789" t="str">
        <f>+IFERROR(VLOOKUP($A25,'[4]SEGUIMIENTO CONTRATOS 2018'!$A:$AJ,25,0)," ")</f>
        <v xml:space="preserve"> </v>
      </c>
      <c r="AE25" s="789" t="str">
        <f>+IFERROR(VLOOKUP($A25,'[4]SEGUIMIENTO CONTRATOS 2018'!$A:$AJ,26,0)," ")</f>
        <v xml:space="preserve"> </v>
      </c>
      <c r="AF25" s="707" t="str">
        <f>+IFERROR(VLOOKUP($A25,'[4]SEGUIMIENTO CONTRATOS 2018'!$A:$AJ,30,0)," ")</f>
        <v xml:space="preserve"> </v>
      </c>
      <c r="AG25" s="707" t="str">
        <f>+IFERROR(VLOOKUP($A25,'[4]SEGUIMIENTO CONTRATOS 2018'!$A:$AJ,31,0)," ")</f>
        <v xml:space="preserve"> </v>
      </c>
    </row>
    <row r="26" spans="1:33" ht="93" x14ac:dyDescent="0.25">
      <c r="A26" s="599">
        <f t="shared" si="1"/>
        <v>7</v>
      </c>
      <c r="B26" s="600" t="s">
        <v>264</v>
      </c>
      <c r="C26" s="687" t="s">
        <v>468</v>
      </c>
      <c r="D26" s="602" t="s">
        <v>469</v>
      </c>
      <c r="E26" s="600" t="s">
        <v>48</v>
      </c>
      <c r="F26" s="600">
        <v>1</v>
      </c>
      <c r="G26" s="603" t="s">
        <v>80</v>
      </c>
      <c r="H26" s="604">
        <v>8</v>
      </c>
      <c r="I26" s="600" t="s">
        <v>55</v>
      </c>
      <c r="J26" s="600" t="s">
        <v>35</v>
      </c>
      <c r="K26" s="600" t="s">
        <v>46</v>
      </c>
      <c r="L26" s="605">
        <v>10000000</v>
      </c>
      <c r="M26" s="606">
        <v>10000000</v>
      </c>
      <c r="N26" s="600" t="s">
        <v>51</v>
      </c>
      <c r="O26" s="600" t="s">
        <v>36</v>
      </c>
      <c r="P26" s="600" t="s">
        <v>320</v>
      </c>
      <c r="Q26" s="80"/>
      <c r="R26" s="707" t="str">
        <f>+IFERROR(VLOOKUP($A26,'[4]SEGUIMIENTO CONTRATOS 2018'!$A:$AJ,2,0)," ")</f>
        <v xml:space="preserve"> </v>
      </c>
      <c r="S26" s="707" t="str">
        <f>+IFERROR(VLOOKUP($A26,'[4]SEGUIMIENTO CONTRATOS 2018'!$A:$AJ,3,0)," ")</f>
        <v xml:space="preserve"> </v>
      </c>
      <c r="T26" s="789" t="str">
        <f>+IFERROR(VLOOKUP($A26,'[4]SEGUIMIENTO CONTRATOS 2018'!$A:$AJ,8,0)," ")</f>
        <v xml:space="preserve"> </v>
      </c>
      <c r="U26" s="707" t="str">
        <f>+IFERROR(VLOOKUP($A26,'[4]SEGUIMIENTO CONTRATOS 2018'!$A:$AJ,9,0)," ")</f>
        <v xml:space="preserve"> </v>
      </c>
      <c r="V26" s="707" t="str">
        <f>+IFERROR(VLOOKUP($A26,'[4]SEGUIMIENTO CONTRATOS 2018'!$A:$AJ,11,0)," ")</f>
        <v xml:space="preserve"> </v>
      </c>
      <c r="W26" s="790">
        <f>+IFERROR(VLOOKUP($A26,'[4]SEGUIMIENTO CONTRATOS 2018'!$A:$AJ,13,0),0)</f>
        <v>0</v>
      </c>
      <c r="X26" s="707">
        <f>+IFERROR(VLOOKUP($A26,'[4]SEGUIMIENTO CONTRATOS 2018'!$A:$AJ,14,0),0)</f>
        <v>0</v>
      </c>
      <c r="Y26" s="790">
        <f>+IFERROR(VLOOKUP($A26,'[4]SEGUIMIENTO CONTRATOS 2018'!$A:$AJ,15,0),0)</f>
        <v>0</v>
      </c>
      <c r="Z26" s="790">
        <f>+IFERROR(VLOOKUP($A26,'[4]SEGUIMIENTO CONTRATOS 2018'!$A:$AJ,15,0),0)</f>
        <v>0</v>
      </c>
      <c r="AA26" s="707" t="str">
        <f>+IFERROR(VLOOKUP($A26,'[4]SEGUIMIENTO CONTRATOS 2018'!$A:$AJ,16,0)," ")</f>
        <v xml:space="preserve"> </v>
      </c>
      <c r="AB26" s="707" t="str">
        <f>+IFERROR(VLOOKUP($A26,'[4]SEGUIMIENTO CONTRATOS 2018'!$A:$AL,38,0)," ")</f>
        <v xml:space="preserve"> </v>
      </c>
      <c r="AC26" s="707" t="str">
        <f>+IFERROR(VLOOKUP($A26,'[4]SEGUIMIENTO CONTRATOS 2018'!$A:$AJ,24,0)," ")</f>
        <v xml:space="preserve"> </v>
      </c>
      <c r="AD26" s="789" t="str">
        <f>+IFERROR(VLOOKUP($A26,'[4]SEGUIMIENTO CONTRATOS 2018'!$A:$AJ,25,0)," ")</f>
        <v xml:space="preserve"> </v>
      </c>
      <c r="AE26" s="789" t="str">
        <f>+IFERROR(VLOOKUP($A26,'[4]SEGUIMIENTO CONTRATOS 2018'!$A:$AJ,26,0)," ")</f>
        <v xml:space="preserve"> </v>
      </c>
      <c r="AF26" s="707" t="str">
        <f>+IFERROR(VLOOKUP($A26,'[4]SEGUIMIENTO CONTRATOS 2018'!$A:$AJ,30,0)," ")</f>
        <v xml:space="preserve"> </v>
      </c>
      <c r="AG26" s="707" t="str">
        <f>+IFERROR(VLOOKUP($A26,'[4]SEGUIMIENTO CONTRATOS 2018'!$A:$AJ,31,0)," ")</f>
        <v xml:space="preserve"> </v>
      </c>
    </row>
    <row r="27" spans="1:33" ht="136.15" customHeight="1" x14ac:dyDescent="0.25">
      <c r="A27" s="599">
        <f t="shared" si="1"/>
        <v>8</v>
      </c>
      <c r="B27" s="600" t="s">
        <v>478</v>
      </c>
      <c r="C27" s="687">
        <v>72101506</v>
      </c>
      <c r="D27" s="602" t="s">
        <v>215</v>
      </c>
      <c r="E27" s="600" t="s">
        <v>48</v>
      </c>
      <c r="F27" s="600">
        <v>1</v>
      </c>
      <c r="G27" s="603" t="s">
        <v>75</v>
      </c>
      <c r="H27" s="604" t="s">
        <v>157</v>
      </c>
      <c r="I27" s="600" t="s">
        <v>55</v>
      </c>
      <c r="J27" s="600" t="s">
        <v>35</v>
      </c>
      <c r="K27" s="600" t="s">
        <v>46</v>
      </c>
      <c r="L27" s="605">
        <v>10000000</v>
      </c>
      <c r="M27" s="606">
        <v>10000000</v>
      </c>
      <c r="N27" s="600" t="s">
        <v>51</v>
      </c>
      <c r="O27" s="600" t="s">
        <v>36</v>
      </c>
      <c r="P27" s="600" t="s">
        <v>477</v>
      </c>
      <c r="Q27" s="80"/>
      <c r="R27" s="707" t="str">
        <f>+IFERROR(VLOOKUP($A27,'[4]SEGUIMIENTO CONTRATOS 2018'!$A:$AJ,2,0)," ")</f>
        <v xml:space="preserve"> </v>
      </c>
      <c r="S27" s="707" t="str">
        <f>+IFERROR(VLOOKUP($A27,'[4]SEGUIMIENTO CONTRATOS 2018'!$A:$AJ,3,0)," ")</f>
        <v xml:space="preserve"> </v>
      </c>
      <c r="T27" s="789" t="str">
        <f>+IFERROR(VLOOKUP($A27,'[4]SEGUIMIENTO CONTRATOS 2018'!$A:$AJ,8,0)," ")</f>
        <v xml:space="preserve"> </v>
      </c>
      <c r="U27" s="707" t="str">
        <f>+IFERROR(VLOOKUP($A27,'[4]SEGUIMIENTO CONTRATOS 2018'!$A:$AJ,9,0)," ")</f>
        <v xml:space="preserve"> </v>
      </c>
      <c r="V27" s="707" t="str">
        <f>+IFERROR(VLOOKUP($A27,'[4]SEGUIMIENTO CONTRATOS 2018'!$A:$AJ,11,0)," ")</f>
        <v xml:space="preserve"> </v>
      </c>
      <c r="W27" s="790">
        <f>+IFERROR(VLOOKUP($A27,'[4]SEGUIMIENTO CONTRATOS 2018'!$A:$AJ,13,0),0)</f>
        <v>0</v>
      </c>
      <c r="X27" s="707">
        <f>+IFERROR(VLOOKUP($A27,'[4]SEGUIMIENTO CONTRATOS 2018'!$A:$AJ,14,0),0)</f>
        <v>0</v>
      </c>
      <c r="Y27" s="790">
        <f>+IFERROR(VLOOKUP($A27,'[4]SEGUIMIENTO CONTRATOS 2018'!$A:$AJ,15,0),0)</f>
        <v>0</v>
      </c>
      <c r="Z27" s="790">
        <f>+IFERROR(VLOOKUP($A27,'[4]SEGUIMIENTO CONTRATOS 2018'!$A:$AJ,15,0),0)</f>
        <v>0</v>
      </c>
      <c r="AA27" s="707" t="str">
        <f>+IFERROR(VLOOKUP($A27,'[4]SEGUIMIENTO CONTRATOS 2018'!$A:$AJ,16,0)," ")</f>
        <v xml:space="preserve"> </v>
      </c>
      <c r="AB27" s="707" t="str">
        <f>+IFERROR(VLOOKUP($A27,'[4]SEGUIMIENTO CONTRATOS 2018'!$A:$AL,38,0)," ")</f>
        <v xml:space="preserve"> </v>
      </c>
      <c r="AC27" s="707" t="str">
        <f>+IFERROR(VLOOKUP($A27,'[4]SEGUIMIENTO CONTRATOS 2018'!$A:$AJ,24,0)," ")</f>
        <v xml:space="preserve"> </v>
      </c>
      <c r="AD27" s="789" t="str">
        <f>+IFERROR(VLOOKUP($A27,'[4]SEGUIMIENTO CONTRATOS 2018'!$A:$AJ,25,0)," ")</f>
        <v xml:space="preserve"> </v>
      </c>
      <c r="AE27" s="789" t="str">
        <f>+IFERROR(VLOOKUP($A27,'[4]SEGUIMIENTO CONTRATOS 2018'!$A:$AJ,26,0)," ")</f>
        <v xml:space="preserve"> </v>
      </c>
      <c r="AF27" s="707" t="str">
        <f>+IFERROR(VLOOKUP($A27,'[4]SEGUIMIENTO CONTRATOS 2018'!$A:$AJ,30,0)," ")</f>
        <v xml:space="preserve"> </v>
      </c>
      <c r="AG27" s="707" t="str">
        <f>+IFERROR(VLOOKUP($A27,'[4]SEGUIMIENTO CONTRATOS 2018'!$A:$AJ,31,0)," ")</f>
        <v xml:space="preserve"> </v>
      </c>
    </row>
    <row r="28" spans="1:33" ht="93" x14ac:dyDescent="0.25">
      <c r="A28" s="599">
        <f t="shared" si="1"/>
        <v>9</v>
      </c>
      <c r="B28" s="600" t="s">
        <v>264</v>
      </c>
      <c r="C28" s="687">
        <v>72102900</v>
      </c>
      <c r="D28" s="602" t="s">
        <v>56</v>
      </c>
      <c r="E28" s="600" t="s">
        <v>48</v>
      </c>
      <c r="F28" s="600">
        <v>1</v>
      </c>
      <c r="G28" s="603" t="s">
        <v>77</v>
      </c>
      <c r="H28" s="604" t="s">
        <v>472</v>
      </c>
      <c r="I28" s="600" t="s">
        <v>50</v>
      </c>
      <c r="J28" s="600" t="s">
        <v>35</v>
      </c>
      <c r="K28" s="600" t="s">
        <v>57</v>
      </c>
      <c r="L28" s="605">
        <v>202000000</v>
      </c>
      <c r="M28" s="606">
        <v>22000000</v>
      </c>
      <c r="N28" s="600" t="s">
        <v>49</v>
      </c>
      <c r="O28" s="600" t="s">
        <v>447</v>
      </c>
      <c r="P28" s="600" t="s">
        <v>320</v>
      </c>
      <c r="Q28" s="80"/>
      <c r="R28" s="707" t="str">
        <f>+IFERROR(VLOOKUP($A28,'[4]SEGUIMIENTO CONTRATOS 2018'!$A:$AJ,2,0)," ")</f>
        <v xml:space="preserve"> </v>
      </c>
      <c r="S28" s="707" t="str">
        <f>+IFERROR(VLOOKUP($A28,'[4]SEGUIMIENTO CONTRATOS 2018'!$A:$AJ,3,0)," ")</f>
        <v xml:space="preserve"> </v>
      </c>
      <c r="T28" s="789" t="str">
        <f>+IFERROR(VLOOKUP($A28,'[4]SEGUIMIENTO CONTRATOS 2018'!$A:$AJ,8,0)," ")</f>
        <v xml:space="preserve"> </v>
      </c>
      <c r="U28" s="707" t="str">
        <f>+IFERROR(VLOOKUP($A28,'[4]SEGUIMIENTO CONTRATOS 2018'!$A:$AJ,9,0)," ")</f>
        <v xml:space="preserve"> </v>
      </c>
      <c r="V28" s="707" t="str">
        <f>+IFERROR(VLOOKUP($A28,'[4]SEGUIMIENTO CONTRATOS 2018'!$A:$AJ,11,0)," ")</f>
        <v xml:space="preserve"> </v>
      </c>
      <c r="W28" s="790">
        <f>+IFERROR(VLOOKUP($A28,'[4]SEGUIMIENTO CONTRATOS 2018'!$A:$AJ,13,0),0)</f>
        <v>0</v>
      </c>
      <c r="X28" s="707">
        <f>+IFERROR(VLOOKUP($A28,'[4]SEGUIMIENTO CONTRATOS 2018'!$A:$AJ,14,0),0)</f>
        <v>0</v>
      </c>
      <c r="Y28" s="790">
        <f>+IFERROR(VLOOKUP($A28,'[4]SEGUIMIENTO CONTRATOS 2018'!$A:$AJ,15,0),0)</f>
        <v>0</v>
      </c>
      <c r="Z28" s="790">
        <f>+IFERROR(VLOOKUP($A28,'[4]SEGUIMIENTO CONTRATOS 2018'!$A:$AJ,15,0),0)</f>
        <v>0</v>
      </c>
      <c r="AA28" s="707" t="str">
        <f>+IFERROR(VLOOKUP($A28,'[4]SEGUIMIENTO CONTRATOS 2018'!$A:$AJ,16,0)," ")</f>
        <v xml:space="preserve"> </v>
      </c>
      <c r="AB28" s="707" t="str">
        <f>+IFERROR(VLOOKUP($A28,'[4]SEGUIMIENTO CONTRATOS 2018'!$A:$AL,38,0)," ")</f>
        <v xml:space="preserve"> </v>
      </c>
      <c r="AC28" s="707" t="str">
        <f>+IFERROR(VLOOKUP($A28,'[4]SEGUIMIENTO CONTRATOS 2018'!$A:$AJ,24,0)," ")</f>
        <v xml:space="preserve"> </v>
      </c>
      <c r="AD28" s="789" t="str">
        <f>+IFERROR(VLOOKUP($A28,'[4]SEGUIMIENTO CONTRATOS 2018'!$A:$AJ,25,0)," ")</f>
        <v xml:space="preserve"> </v>
      </c>
      <c r="AE28" s="789" t="str">
        <f>+IFERROR(VLOOKUP($A28,'[4]SEGUIMIENTO CONTRATOS 2018'!$A:$AJ,26,0)," ")</f>
        <v xml:space="preserve"> </v>
      </c>
      <c r="AF28" s="707" t="str">
        <f>+IFERROR(VLOOKUP($A28,'[4]SEGUIMIENTO CONTRATOS 2018'!$A:$AJ,30,0)," ")</f>
        <v xml:space="preserve"> </v>
      </c>
      <c r="AG28" s="707" t="str">
        <f>+IFERROR(VLOOKUP($A28,'[4]SEGUIMIENTO CONTRATOS 2018'!$A:$AJ,31,0)," ")</f>
        <v xml:space="preserve"> </v>
      </c>
    </row>
    <row r="29" spans="1:33" ht="156" x14ac:dyDescent="0.25">
      <c r="A29" s="690">
        <f t="shared" si="1"/>
        <v>10</v>
      </c>
      <c r="B29" s="691" t="s">
        <v>264</v>
      </c>
      <c r="C29" s="692">
        <v>84131603</v>
      </c>
      <c r="D29" s="693" t="s">
        <v>62</v>
      </c>
      <c r="E29" s="691" t="s">
        <v>48</v>
      </c>
      <c r="F29" s="691">
        <v>1</v>
      </c>
      <c r="G29" s="694" t="s">
        <v>73</v>
      </c>
      <c r="H29" s="695" t="s">
        <v>156</v>
      </c>
      <c r="I29" s="691" t="s">
        <v>50</v>
      </c>
      <c r="J29" s="691" t="s">
        <v>35</v>
      </c>
      <c r="K29" s="691" t="s">
        <v>39</v>
      </c>
      <c r="L29" s="696">
        <v>6210182</v>
      </c>
      <c r="M29" s="697">
        <v>6210182</v>
      </c>
      <c r="N29" s="691" t="s">
        <v>51</v>
      </c>
      <c r="O29" s="691" t="s">
        <v>36</v>
      </c>
      <c r="P29" s="691" t="s">
        <v>320</v>
      </c>
      <c r="Q29" s="80"/>
      <c r="R29" s="698" t="str">
        <f>+IFERROR(VLOOKUP($A29,'[4]SEGUIMIENTO CONTRATOS 2018'!$A:$AJ,2,0)," ")</f>
        <v>150-2018</v>
      </c>
      <c r="S29" s="698" t="str">
        <f>+IFERROR(VLOOKUP($A29,'[4]SEGUIMIENTO CONTRATOS 2018'!$A:$AJ,3,0)," ")</f>
        <v>LA PREVISORA S.A.</v>
      </c>
      <c r="T29" s="751">
        <f>+IFERROR(VLOOKUP($A29,'[4]SEGUIMIENTO CONTRATOS 2018'!$A:$AJ,8,0)," ")</f>
        <v>43132</v>
      </c>
      <c r="U29" s="698" t="str">
        <f>+IFERROR(VLOOKUP($A29,'[4]SEGUIMIENTO CONTRATOS 2018'!$A:$AJ,9,0)," ")</f>
        <v>Adquirir el Seguro Obligatorio de Accidentes de Tránsito - SOAT para la protección de los automóviles que integran el parque automotor de la Función Pública, de conformidad lo señalado por el Acuerdo Marco de Precios de Colombia Compra Eficiente.</v>
      </c>
      <c r="V29" s="698" t="str">
        <f>+IFERROR(VLOOKUP($A29,'[4]SEGUIMIENTO CONTRATOS 2018'!$A:$AJ,11,0)," ")</f>
        <v>CONTRATO DE SUMINISTRO</v>
      </c>
      <c r="W29" s="752">
        <f>+IFERROR(VLOOKUP($A29,'[4]SEGUIMIENTO CONTRATOS 2018'!$A:$AJ,13,0),0)</f>
        <v>4130593</v>
      </c>
      <c r="X29" s="698">
        <f>+IFERROR(VLOOKUP($A29,'[4]SEGUIMIENTO CONTRATOS 2018'!$A:$AJ,14,0),0)</f>
        <v>0</v>
      </c>
      <c r="Y29" s="752">
        <f>+IFERROR(VLOOKUP($A29,'[4]SEGUIMIENTO CONTRATOS 2018'!$A:$AJ,15,0),0)</f>
        <v>4130593</v>
      </c>
      <c r="Z29" s="752">
        <f>+IFERROR(VLOOKUP($A29,'[4]SEGUIMIENTO CONTRATOS 2018'!$A:$AJ,15,0),0)</f>
        <v>4130593</v>
      </c>
      <c r="AA29" s="698" t="str">
        <f>+IFERROR(VLOOKUP($A29,'[4]SEGUIMIENTO CONTRATOS 2018'!$A:$AJ,16,0)," ")</f>
        <v>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 isor del Contrato, sin que el monto total de los servicios suministrados pueda exceder la cuantía totaldel contrato.</v>
      </c>
      <c r="AB29" s="698" t="str">
        <f>+IFERROR(VLOOKUP($A29,'[4]SEGUIMIENTO CONTRATOS 2018'!$A:$AL,38,0)," ")</f>
        <v xml:space="preserve">8718 </v>
      </c>
      <c r="AC29" s="698" t="str">
        <f>+IFERROR(VLOOKUP($A29,'[4]SEGUIMIENTO CONTRATOS 2018'!$A:$AJ,24,0)," ")</f>
        <v>Hasta el treinta y uno (31) de diciembre de 2018, de conformidad con lo estipulado por el Acuerdo Marco de Precios de Colombia Compra Eficiente .</v>
      </c>
      <c r="AD29" s="751">
        <f>+IFERROR(VLOOKUP($A29,'[4]SEGUIMIENTO CONTRATOS 2018'!$A:$AJ,25,0)," ")</f>
        <v>43132</v>
      </c>
      <c r="AE29" s="751">
        <f>+IFERROR(VLOOKUP($A29,'[4]SEGUIMIENTO CONTRATOS 2018'!$A:$AJ,26,0)," ")</f>
        <v>43465</v>
      </c>
      <c r="AF29" s="698" t="str">
        <f>+IFERROR(VLOOKUP($A29,'[4]SEGUIMIENTO CONTRATOS 2018'!$A:$AJ,30,0)," ")</f>
        <v>IVAN ADOLFO MORANTES MOJICA</v>
      </c>
      <c r="AG29" s="698" t="str">
        <f>+IFERROR(VLOOKUP($A29,'[4]SEGUIMIENTO CONTRATOS 2018'!$A:$AJ,31,0)," ")</f>
        <v xml:space="preserve">GRUPO DE GESTION ADMINISTRATIVA </v>
      </c>
    </row>
    <row r="30" spans="1:33" ht="93" x14ac:dyDescent="0.25">
      <c r="A30" s="599">
        <f t="shared" si="1"/>
        <v>11</v>
      </c>
      <c r="B30" s="600" t="s">
        <v>264</v>
      </c>
      <c r="C30" s="687">
        <v>20102302</v>
      </c>
      <c r="D30" s="602" t="s">
        <v>204</v>
      </c>
      <c r="E30" s="600" t="s">
        <v>48</v>
      </c>
      <c r="F30" s="600">
        <v>1</v>
      </c>
      <c r="G30" s="603" t="s">
        <v>75</v>
      </c>
      <c r="H30" s="604" t="s">
        <v>156</v>
      </c>
      <c r="I30" s="600" t="s">
        <v>55</v>
      </c>
      <c r="J30" s="600" t="s">
        <v>35</v>
      </c>
      <c r="K30" s="600" t="s">
        <v>218</v>
      </c>
      <c r="L30" s="605">
        <v>2400000</v>
      </c>
      <c r="M30" s="606">
        <v>2400000</v>
      </c>
      <c r="N30" s="600" t="s">
        <v>51</v>
      </c>
      <c r="O30" s="600" t="s">
        <v>36</v>
      </c>
      <c r="P30" s="600" t="s">
        <v>320</v>
      </c>
      <c r="Q30" s="80"/>
      <c r="R30" s="707" t="str">
        <f>+IFERROR(VLOOKUP($A30,'[4]SEGUIMIENTO CONTRATOS 2018'!$A:$AJ,2,0)," ")</f>
        <v xml:space="preserve"> </v>
      </c>
      <c r="S30" s="707" t="str">
        <f>+IFERROR(VLOOKUP($A30,'[4]SEGUIMIENTO CONTRATOS 2018'!$A:$AJ,3,0)," ")</f>
        <v xml:space="preserve"> </v>
      </c>
      <c r="T30" s="789" t="str">
        <f>+IFERROR(VLOOKUP($A30,'[4]SEGUIMIENTO CONTRATOS 2018'!$A:$AJ,8,0)," ")</f>
        <v xml:space="preserve"> </v>
      </c>
      <c r="U30" s="707" t="str">
        <f>+IFERROR(VLOOKUP($A30,'[4]SEGUIMIENTO CONTRATOS 2018'!$A:$AJ,9,0)," ")</f>
        <v xml:space="preserve"> </v>
      </c>
      <c r="V30" s="707" t="str">
        <f>+IFERROR(VLOOKUP($A30,'[4]SEGUIMIENTO CONTRATOS 2018'!$A:$AJ,11,0)," ")</f>
        <v xml:space="preserve"> </v>
      </c>
      <c r="W30" s="790">
        <f>+IFERROR(VLOOKUP($A30,'[4]SEGUIMIENTO CONTRATOS 2018'!$A:$AJ,13,0),0)</f>
        <v>0</v>
      </c>
      <c r="X30" s="707">
        <f>+IFERROR(VLOOKUP($A30,'[4]SEGUIMIENTO CONTRATOS 2018'!$A:$AJ,14,0),0)</f>
        <v>0</v>
      </c>
      <c r="Y30" s="790">
        <f>+IFERROR(VLOOKUP($A30,'[4]SEGUIMIENTO CONTRATOS 2018'!$A:$AJ,15,0),0)</f>
        <v>0</v>
      </c>
      <c r="Z30" s="790">
        <f>+IFERROR(VLOOKUP($A30,'[4]SEGUIMIENTO CONTRATOS 2018'!$A:$AJ,15,0),0)</f>
        <v>0</v>
      </c>
      <c r="AA30" s="707" t="str">
        <f>+IFERROR(VLOOKUP($A30,'[4]SEGUIMIENTO CONTRATOS 2018'!$A:$AJ,16,0)," ")</f>
        <v xml:space="preserve"> </v>
      </c>
      <c r="AB30" s="707" t="str">
        <f>+IFERROR(VLOOKUP($A30,'[4]SEGUIMIENTO CONTRATOS 2018'!$A:$AL,38,0)," ")</f>
        <v xml:space="preserve"> </v>
      </c>
      <c r="AC30" s="707" t="str">
        <f>+IFERROR(VLOOKUP($A30,'[4]SEGUIMIENTO CONTRATOS 2018'!$A:$AJ,24,0)," ")</f>
        <v xml:space="preserve"> </v>
      </c>
      <c r="AD30" s="789" t="str">
        <f>+IFERROR(VLOOKUP($A30,'[4]SEGUIMIENTO CONTRATOS 2018'!$A:$AJ,25,0)," ")</f>
        <v xml:space="preserve"> </v>
      </c>
      <c r="AE30" s="789" t="str">
        <f>+IFERROR(VLOOKUP($A30,'[4]SEGUIMIENTO CONTRATOS 2018'!$A:$AJ,26,0)," ")</f>
        <v xml:space="preserve"> </v>
      </c>
      <c r="AF30" s="707" t="str">
        <f>+IFERROR(VLOOKUP($A30,'[4]SEGUIMIENTO CONTRATOS 2018'!$A:$AJ,30,0)," ")</f>
        <v xml:space="preserve"> </v>
      </c>
      <c r="AG30" s="707" t="str">
        <f>+IFERROR(VLOOKUP($A30,'[4]SEGUIMIENTO CONTRATOS 2018'!$A:$AJ,31,0)," ")</f>
        <v xml:space="preserve"> </v>
      </c>
    </row>
    <row r="31" spans="1:33" ht="93" x14ac:dyDescent="0.25">
      <c r="A31" s="599">
        <f t="shared" si="1"/>
        <v>12</v>
      </c>
      <c r="B31" s="600" t="s">
        <v>264</v>
      </c>
      <c r="C31" s="687">
        <v>55101519</v>
      </c>
      <c r="D31" s="602" t="s">
        <v>179</v>
      </c>
      <c r="E31" s="600" t="s">
        <v>48</v>
      </c>
      <c r="F31" s="600">
        <v>1</v>
      </c>
      <c r="G31" s="603" t="s">
        <v>78</v>
      </c>
      <c r="H31" s="604" t="s">
        <v>206</v>
      </c>
      <c r="I31" s="600" t="s">
        <v>55</v>
      </c>
      <c r="J31" s="600" t="s">
        <v>35</v>
      </c>
      <c r="K31" s="600" t="s">
        <v>193</v>
      </c>
      <c r="L31" s="605">
        <v>2500000</v>
      </c>
      <c r="M31" s="606">
        <v>2500000</v>
      </c>
      <c r="N31" s="600" t="s">
        <v>51</v>
      </c>
      <c r="O31" s="600" t="s">
        <v>36</v>
      </c>
      <c r="P31" s="600" t="s">
        <v>320</v>
      </c>
      <c r="Q31" s="80"/>
      <c r="R31" s="707" t="str">
        <f>+IFERROR(VLOOKUP($A31,'[4]SEGUIMIENTO CONTRATOS 2018'!$A:$AJ,2,0)," ")</f>
        <v xml:space="preserve"> </v>
      </c>
      <c r="S31" s="707" t="str">
        <f>+IFERROR(VLOOKUP($A31,'[4]SEGUIMIENTO CONTRATOS 2018'!$A:$AJ,3,0)," ")</f>
        <v xml:space="preserve"> </v>
      </c>
      <c r="T31" s="789" t="str">
        <f>+IFERROR(VLOOKUP($A31,'[4]SEGUIMIENTO CONTRATOS 2018'!$A:$AJ,8,0)," ")</f>
        <v xml:space="preserve"> </v>
      </c>
      <c r="U31" s="707" t="str">
        <f>+IFERROR(VLOOKUP($A31,'[4]SEGUIMIENTO CONTRATOS 2018'!$A:$AJ,9,0)," ")</f>
        <v xml:space="preserve"> </v>
      </c>
      <c r="V31" s="707" t="str">
        <f>+IFERROR(VLOOKUP($A31,'[4]SEGUIMIENTO CONTRATOS 2018'!$A:$AJ,11,0)," ")</f>
        <v xml:space="preserve"> </v>
      </c>
      <c r="W31" s="790">
        <f>+IFERROR(VLOOKUP($A31,'[4]SEGUIMIENTO CONTRATOS 2018'!$A:$AJ,13,0),0)</f>
        <v>0</v>
      </c>
      <c r="X31" s="707">
        <f>+IFERROR(VLOOKUP($A31,'[4]SEGUIMIENTO CONTRATOS 2018'!$A:$AJ,14,0),0)</f>
        <v>0</v>
      </c>
      <c r="Y31" s="790">
        <f>+IFERROR(VLOOKUP($A31,'[4]SEGUIMIENTO CONTRATOS 2018'!$A:$AJ,15,0),0)</f>
        <v>0</v>
      </c>
      <c r="Z31" s="790">
        <f>+IFERROR(VLOOKUP($A31,'[4]SEGUIMIENTO CONTRATOS 2018'!$A:$AJ,15,0),0)</f>
        <v>0</v>
      </c>
      <c r="AA31" s="707" t="str">
        <f>+IFERROR(VLOOKUP($A31,'[4]SEGUIMIENTO CONTRATOS 2018'!$A:$AJ,16,0)," ")</f>
        <v xml:space="preserve"> </v>
      </c>
      <c r="AB31" s="707" t="str">
        <f>+IFERROR(VLOOKUP($A31,'[4]SEGUIMIENTO CONTRATOS 2018'!$A:$AL,38,0)," ")</f>
        <v xml:space="preserve"> </v>
      </c>
      <c r="AC31" s="707" t="str">
        <f>+IFERROR(VLOOKUP($A31,'[4]SEGUIMIENTO CONTRATOS 2018'!$A:$AJ,24,0)," ")</f>
        <v xml:space="preserve"> </v>
      </c>
      <c r="AD31" s="789" t="str">
        <f>+IFERROR(VLOOKUP($A31,'[4]SEGUIMIENTO CONTRATOS 2018'!$A:$AJ,25,0)," ")</f>
        <v xml:space="preserve"> </v>
      </c>
      <c r="AE31" s="789" t="str">
        <f>+IFERROR(VLOOKUP($A31,'[4]SEGUIMIENTO CONTRATOS 2018'!$A:$AJ,26,0)," ")</f>
        <v xml:space="preserve"> </v>
      </c>
      <c r="AF31" s="707" t="str">
        <f>+IFERROR(VLOOKUP($A31,'[4]SEGUIMIENTO CONTRATOS 2018'!$A:$AJ,30,0)," ")</f>
        <v xml:space="preserve"> </v>
      </c>
      <c r="AG31" s="707" t="str">
        <f>+IFERROR(VLOOKUP($A31,'[4]SEGUIMIENTO CONTRATOS 2018'!$A:$AJ,31,0)," ")</f>
        <v xml:space="preserve"> </v>
      </c>
    </row>
    <row r="32" spans="1:33" ht="93" x14ac:dyDescent="0.25">
      <c r="A32" s="599">
        <f t="shared" si="1"/>
        <v>13</v>
      </c>
      <c r="B32" s="600" t="s">
        <v>264</v>
      </c>
      <c r="C32" s="687">
        <v>72101516</v>
      </c>
      <c r="D32" s="602" t="s">
        <v>448</v>
      </c>
      <c r="E32" s="600" t="s">
        <v>48</v>
      </c>
      <c r="F32" s="600">
        <v>1</v>
      </c>
      <c r="G32" s="603" t="s">
        <v>76</v>
      </c>
      <c r="H32" s="604" t="s">
        <v>157</v>
      </c>
      <c r="I32" s="600" t="s">
        <v>55</v>
      </c>
      <c r="J32" s="600" t="s">
        <v>35</v>
      </c>
      <c r="K32" s="600" t="s">
        <v>37</v>
      </c>
      <c r="L32" s="605">
        <v>2800000</v>
      </c>
      <c r="M32" s="606">
        <v>2800000</v>
      </c>
      <c r="N32" s="600" t="s">
        <v>51</v>
      </c>
      <c r="O32" s="600" t="s">
        <v>36</v>
      </c>
      <c r="P32" s="600" t="s">
        <v>320</v>
      </c>
      <c r="Q32" s="80"/>
      <c r="R32" s="707" t="str">
        <f>+IFERROR(VLOOKUP($A32,'[4]SEGUIMIENTO CONTRATOS 2018'!$A:$AJ,2,0)," ")</f>
        <v xml:space="preserve"> </v>
      </c>
      <c r="S32" s="707" t="str">
        <f>+IFERROR(VLOOKUP($A32,'[4]SEGUIMIENTO CONTRATOS 2018'!$A:$AJ,3,0)," ")</f>
        <v xml:space="preserve"> </v>
      </c>
      <c r="T32" s="789" t="str">
        <f>+IFERROR(VLOOKUP($A32,'[4]SEGUIMIENTO CONTRATOS 2018'!$A:$AJ,8,0)," ")</f>
        <v xml:space="preserve"> </v>
      </c>
      <c r="U32" s="707" t="str">
        <f>+IFERROR(VLOOKUP($A32,'[4]SEGUIMIENTO CONTRATOS 2018'!$A:$AJ,9,0)," ")</f>
        <v xml:space="preserve"> </v>
      </c>
      <c r="V32" s="707" t="str">
        <f>+IFERROR(VLOOKUP($A32,'[4]SEGUIMIENTO CONTRATOS 2018'!$A:$AJ,11,0)," ")</f>
        <v xml:space="preserve"> </v>
      </c>
      <c r="W32" s="790">
        <f>+IFERROR(VLOOKUP($A32,'[4]SEGUIMIENTO CONTRATOS 2018'!$A:$AJ,13,0),0)</f>
        <v>0</v>
      </c>
      <c r="X32" s="707">
        <f>+IFERROR(VLOOKUP($A32,'[4]SEGUIMIENTO CONTRATOS 2018'!$A:$AJ,14,0),0)</f>
        <v>0</v>
      </c>
      <c r="Y32" s="790">
        <f>+IFERROR(VLOOKUP($A32,'[4]SEGUIMIENTO CONTRATOS 2018'!$A:$AJ,15,0),0)</f>
        <v>0</v>
      </c>
      <c r="Z32" s="790">
        <f>+IFERROR(VLOOKUP($A32,'[4]SEGUIMIENTO CONTRATOS 2018'!$A:$AJ,15,0),0)</f>
        <v>0</v>
      </c>
      <c r="AA32" s="707" t="str">
        <f>+IFERROR(VLOOKUP($A32,'[4]SEGUIMIENTO CONTRATOS 2018'!$A:$AJ,16,0)," ")</f>
        <v xml:space="preserve"> </v>
      </c>
      <c r="AB32" s="707" t="str">
        <f>+IFERROR(VLOOKUP($A32,'[4]SEGUIMIENTO CONTRATOS 2018'!$A:$AL,38,0)," ")</f>
        <v xml:space="preserve"> </v>
      </c>
      <c r="AC32" s="707" t="str">
        <f>+IFERROR(VLOOKUP($A32,'[4]SEGUIMIENTO CONTRATOS 2018'!$A:$AJ,24,0)," ")</f>
        <v xml:space="preserve"> </v>
      </c>
      <c r="AD32" s="789" t="str">
        <f>+IFERROR(VLOOKUP($A32,'[4]SEGUIMIENTO CONTRATOS 2018'!$A:$AJ,25,0)," ")</f>
        <v xml:space="preserve"> </v>
      </c>
      <c r="AE32" s="789" t="str">
        <f>+IFERROR(VLOOKUP($A32,'[4]SEGUIMIENTO CONTRATOS 2018'!$A:$AJ,26,0)," ")</f>
        <v xml:space="preserve"> </v>
      </c>
      <c r="AF32" s="707" t="str">
        <f>+IFERROR(VLOOKUP($A32,'[4]SEGUIMIENTO CONTRATOS 2018'!$A:$AJ,30,0)," ")</f>
        <v xml:space="preserve"> </v>
      </c>
      <c r="AG32" s="707" t="str">
        <f>+IFERROR(VLOOKUP($A32,'[4]SEGUIMIENTO CONTRATOS 2018'!$A:$AJ,31,0)," ")</f>
        <v xml:space="preserve"> </v>
      </c>
    </row>
    <row r="33" spans="1:33" ht="93" x14ac:dyDescent="0.25">
      <c r="A33" s="903">
        <f t="shared" si="1"/>
        <v>14</v>
      </c>
      <c r="B33" s="600" t="s">
        <v>264</v>
      </c>
      <c r="C33" s="687" t="s">
        <v>205</v>
      </c>
      <c r="D33" s="602" t="s">
        <v>449</v>
      </c>
      <c r="E33" s="600" t="s">
        <v>48</v>
      </c>
      <c r="F33" s="600">
        <v>1</v>
      </c>
      <c r="G33" s="603" t="s">
        <v>80</v>
      </c>
      <c r="H33" s="604" t="s">
        <v>250</v>
      </c>
      <c r="I33" s="600" t="s">
        <v>55</v>
      </c>
      <c r="J33" s="600" t="s">
        <v>35</v>
      </c>
      <c r="K33" s="600" t="s">
        <v>46</v>
      </c>
      <c r="L33" s="605">
        <v>8000000</v>
      </c>
      <c r="M33" s="606">
        <v>8000000</v>
      </c>
      <c r="N33" s="600" t="s">
        <v>51</v>
      </c>
      <c r="O33" s="600" t="s">
        <v>36</v>
      </c>
      <c r="P33" s="600" t="s">
        <v>320</v>
      </c>
      <c r="Q33" s="80"/>
      <c r="R33" s="608"/>
      <c r="S33" s="608"/>
      <c r="T33" s="608"/>
      <c r="U33" s="608"/>
      <c r="V33" s="608"/>
      <c r="W33" s="608"/>
      <c r="X33" s="608"/>
      <c r="Y33" s="730">
        <f t="shared" ref="Y33:Y81" si="2">SUM(W33+X33)</f>
        <v>0</v>
      </c>
      <c r="Z33" s="608"/>
      <c r="AA33" s="608"/>
      <c r="AB33" s="608"/>
      <c r="AC33" s="608"/>
      <c r="AD33" s="608"/>
      <c r="AE33" s="608"/>
      <c r="AF33" s="608"/>
      <c r="AG33" s="608"/>
    </row>
    <row r="34" spans="1:33" ht="93" x14ac:dyDescent="0.25">
      <c r="A34" s="904"/>
      <c r="B34" s="600" t="s">
        <v>264</v>
      </c>
      <c r="C34" s="687" t="s">
        <v>205</v>
      </c>
      <c r="D34" s="602" t="s">
        <v>589</v>
      </c>
      <c r="E34" s="600" t="s">
        <v>48</v>
      </c>
      <c r="F34" s="600">
        <v>1</v>
      </c>
      <c r="G34" s="603" t="s">
        <v>80</v>
      </c>
      <c r="H34" s="604" t="s">
        <v>250</v>
      </c>
      <c r="I34" s="600" t="s">
        <v>55</v>
      </c>
      <c r="J34" s="600" t="s">
        <v>35</v>
      </c>
      <c r="K34" s="600" t="s">
        <v>44</v>
      </c>
      <c r="L34" s="605">
        <v>2000000</v>
      </c>
      <c r="M34" s="606">
        <v>2000000</v>
      </c>
      <c r="N34" s="600" t="s">
        <v>51</v>
      </c>
      <c r="O34" s="600" t="s">
        <v>36</v>
      </c>
      <c r="P34" s="600" t="s">
        <v>320</v>
      </c>
      <c r="Q34" s="80"/>
      <c r="R34" s="608"/>
      <c r="S34" s="608"/>
      <c r="T34" s="608"/>
      <c r="U34" s="608"/>
      <c r="V34" s="608"/>
      <c r="W34" s="608"/>
      <c r="X34" s="608"/>
      <c r="Y34" s="730">
        <f t="shared" si="2"/>
        <v>0</v>
      </c>
      <c r="Z34" s="608"/>
      <c r="AA34" s="608"/>
      <c r="AB34" s="608"/>
      <c r="AC34" s="608"/>
      <c r="AD34" s="608"/>
      <c r="AE34" s="608"/>
      <c r="AF34" s="608"/>
      <c r="AG34" s="608"/>
    </row>
    <row r="35" spans="1:33" ht="93" x14ac:dyDescent="0.25">
      <c r="A35" s="599">
        <v>15</v>
      </c>
      <c r="B35" s="600" t="s">
        <v>316</v>
      </c>
      <c r="C35" s="687" t="s">
        <v>451</v>
      </c>
      <c r="D35" s="602" t="s">
        <v>452</v>
      </c>
      <c r="E35" s="600" t="s">
        <v>48</v>
      </c>
      <c r="F35" s="600">
        <v>1</v>
      </c>
      <c r="G35" s="603" t="s">
        <v>79</v>
      </c>
      <c r="H35" s="604" t="s">
        <v>156</v>
      </c>
      <c r="I35" s="600" t="s">
        <v>55</v>
      </c>
      <c r="J35" s="600" t="s">
        <v>35</v>
      </c>
      <c r="K35" s="600" t="s">
        <v>46</v>
      </c>
      <c r="L35" s="605">
        <v>20000000</v>
      </c>
      <c r="M35" s="606">
        <v>20000000</v>
      </c>
      <c r="N35" s="600" t="s">
        <v>51</v>
      </c>
      <c r="O35" s="600" t="s">
        <v>36</v>
      </c>
      <c r="P35" s="600" t="s">
        <v>320</v>
      </c>
      <c r="Q35" s="80"/>
      <c r="R35" s="707" t="str">
        <f>+IFERROR(VLOOKUP($A35,'[4]SEGUIMIENTO CONTRATOS 2018'!$A:$AJ,2,0)," ")</f>
        <v xml:space="preserve"> </v>
      </c>
      <c r="S35" s="707" t="str">
        <f>+IFERROR(VLOOKUP($A35,'[4]SEGUIMIENTO CONTRATOS 2018'!$A:$AJ,3,0)," ")</f>
        <v xml:space="preserve"> </v>
      </c>
      <c r="T35" s="789" t="str">
        <f>+IFERROR(VLOOKUP($A35,'[4]SEGUIMIENTO CONTRATOS 2018'!$A:$AJ,8,0)," ")</f>
        <v xml:space="preserve"> </v>
      </c>
      <c r="U35" s="707" t="str">
        <f>+IFERROR(VLOOKUP($A35,'[4]SEGUIMIENTO CONTRATOS 2018'!$A:$AJ,9,0)," ")</f>
        <v xml:space="preserve"> </v>
      </c>
      <c r="V35" s="707" t="str">
        <f>+IFERROR(VLOOKUP($A35,'[4]SEGUIMIENTO CONTRATOS 2018'!$A:$AJ,11,0)," ")</f>
        <v xml:space="preserve"> </v>
      </c>
      <c r="W35" s="790">
        <f>+IFERROR(VLOOKUP($A35,'[4]SEGUIMIENTO CONTRATOS 2018'!$A:$AJ,13,0),0)</f>
        <v>0</v>
      </c>
      <c r="X35" s="707">
        <f>+IFERROR(VLOOKUP($A35,'[4]SEGUIMIENTO CONTRATOS 2018'!$A:$AJ,14,0),0)</f>
        <v>0</v>
      </c>
      <c r="Y35" s="790">
        <f>+IFERROR(VLOOKUP($A35,'[4]SEGUIMIENTO CONTRATOS 2018'!$A:$AJ,15,0),0)</f>
        <v>0</v>
      </c>
      <c r="Z35" s="790">
        <f>+IFERROR(VLOOKUP($A35,'[4]SEGUIMIENTO CONTRATOS 2018'!$A:$AJ,15,0),0)</f>
        <v>0</v>
      </c>
      <c r="AA35" s="707" t="str">
        <f>+IFERROR(VLOOKUP($A35,'[4]SEGUIMIENTO CONTRATOS 2018'!$A:$AJ,16,0)," ")</f>
        <v xml:space="preserve"> </v>
      </c>
      <c r="AB35" s="707" t="str">
        <f>+IFERROR(VLOOKUP($A35,'[4]SEGUIMIENTO CONTRATOS 2018'!$A:$AL,38,0)," ")</f>
        <v xml:space="preserve"> </v>
      </c>
      <c r="AC35" s="707" t="str">
        <f>+IFERROR(VLOOKUP($A35,'[4]SEGUIMIENTO CONTRATOS 2018'!$A:$AJ,24,0)," ")</f>
        <v xml:space="preserve"> </v>
      </c>
      <c r="AD35" s="789" t="str">
        <f>+IFERROR(VLOOKUP($A35,'[4]SEGUIMIENTO CONTRATOS 2018'!$A:$AJ,25,0)," ")</f>
        <v xml:space="preserve"> </v>
      </c>
      <c r="AE35" s="789" t="str">
        <f>+IFERROR(VLOOKUP($A35,'[4]SEGUIMIENTO CONTRATOS 2018'!$A:$AJ,26,0)," ")</f>
        <v xml:space="preserve"> </v>
      </c>
      <c r="AF35" s="707" t="str">
        <f>+IFERROR(VLOOKUP($A35,'[4]SEGUIMIENTO CONTRATOS 2018'!$A:$AJ,30,0)," ")</f>
        <v xml:space="preserve"> </v>
      </c>
      <c r="AG35" s="707" t="str">
        <f>+IFERROR(VLOOKUP($A35,'[4]SEGUIMIENTO CONTRATOS 2018'!$A:$AJ,31,0)," ")</f>
        <v xml:space="preserve"> </v>
      </c>
    </row>
    <row r="36" spans="1:33" ht="93" x14ac:dyDescent="0.25">
      <c r="A36" s="748">
        <f t="shared" si="1"/>
        <v>16</v>
      </c>
      <c r="B36" s="600" t="s">
        <v>264</v>
      </c>
      <c r="C36" s="687">
        <v>27110000</v>
      </c>
      <c r="D36" s="602" t="s">
        <v>181</v>
      </c>
      <c r="E36" s="600" t="s">
        <v>48</v>
      </c>
      <c r="F36" s="600">
        <v>1</v>
      </c>
      <c r="G36" s="603" t="s">
        <v>75</v>
      </c>
      <c r="H36" s="604" t="s">
        <v>156</v>
      </c>
      <c r="I36" s="600" t="s">
        <v>55</v>
      </c>
      <c r="J36" s="600" t="s">
        <v>35</v>
      </c>
      <c r="K36" s="600" t="s">
        <v>44</v>
      </c>
      <c r="L36" s="637">
        <v>10000000</v>
      </c>
      <c r="M36" s="638">
        <v>10000000</v>
      </c>
      <c r="N36" s="600" t="s">
        <v>51</v>
      </c>
      <c r="O36" s="600" t="s">
        <v>36</v>
      </c>
      <c r="P36" s="600" t="s">
        <v>320</v>
      </c>
      <c r="Q36" s="80"/>
      <c r="R36" s="707" t="str">
        <f>+IFERROR(VLOOKUP($A36,'[4]SEGUIMIENTO CONTRATOS 2018'!$A:$AJ,2,0)," ")</f>
        <v xml:space="preserve"> </v>
      </c>
      <c r="S36" s="707" t="str">
        <f>+IFERROR(VLOOKUP($A36,'[4]SEGUIMIENTO CONTRATOS 2018'!$A:$AJ,3,0)," ")</f>
        <v xml:space="preserve"> </v>
      </c>
      <c r="T36" s="789" t="str">
        <f>+IFERROR(VLOOKUP($A36,'[4]SEGUIMIENTO CONTRATOS 2018'!$A:$AJ,8,0)," ")</f>
        <v xml:space="preserve"> </v>
      </c>
      <c r="U36" s="707" t="str">
        <f>+IFERROR(VLOOKUP($A36,'[4]SEGUIMIENTO CONTRATOS 2018'!$A:$AJ,9,0)," ")</f>
        <v xml:space="preserve"> </v>
      </c>
      <c r="V36" s="707" t="str">
        <f>+IFERROR(VLOOKUP($A36,'[4]SEGUIMIENTO CONTRATOS 2018'!$A:$AJ,11,0)," ")</f>
        <v xml:space="preserve"> </v>
      </c>
      <c r="W36" s="790">
        <f>+IFERROR(VLOOKUP($A36,'[4]SEGUIMIENTO CONTRATOS 2018'!$A:$AJ,13,0),0)</f>
        <v>0</v>
      </c>
      <c r="X36" s="707">
        <f>+IFERROR(VLOOKUP($A36,'[4]SEGUIMIENTO CONTRATOS 2018'!$A:$AJ,14,0),0)</f>
        <v>0</v>
      </c>
      <c r="Y36" s="790">
        <f>+IFERROR(VLOOKUP($A36,'[4]SEGUIMIENTO CONTRATOS 2018'!$A:$AJ,15,0),0)</f>
        <v>0</v>
      </c>
      <c r="Z36" s="790">
        <f>+IFERROR(VLOOKUP($A36,'[4]SEGUIMIENTO CONTRATOS 2018'!$A:$AJ,15,0),0)</f>
        <v>0</v>
      </c>
      <c r="AA36" s="707" t="str">
        <f>+IFERROR(VLOOKUP($A36,'[4]SEGUIMIENTO CONTRATOS 2018'!$A:$AJ,16,0)," ")</f>
        <v xml:space="preserve"> </v>
      </c>
      <c r="AB36" s="707" t="str">
        <f>+IFERROR(VLOOKUP($A36,'[4]SEGUIMIENTO CONTRATOS 2018'!$A:$AL,38,0)," ")</f>
        <v xml:space="preserve"> </v>
      </c>
      <c r="AC36" s="707" t="str">
        <f>+IFERROR(VLOOKUP($A36,'[4]SEGUIMIENTO CONTRATOS 2018'!$A:$AJ,24,0)," ")</f>
        <v xml:space="preserve"> </v>
      </c>
      <c r="AD36" s="789" t="str">
        <f>+IFERROR(VLOOKUP($A36,'[4]SEGUIMIENTO CONTRATOS 2018'!$A:$AJ,25,0)," ")</f>
        <v xml:space="preserve"> </v>
      </c>
      <c r="AE36" s="789" t="str">
        <f>+IFERROR(VLOOKUP($A36,'[4]SEGUIMIENTO CONTRATOS 2018'!$A:$AJ,26,0)," ")</f>
        <v xml:space="preserve"> </v>
      </c>
      <c r="AF36" s="707" t="str">
        <f>+IFERROR(VLOOKUP($A36,'[4]SEGUIMIENTO CONTRATOS 2018'!$A:$AJ,30,0)," ")</f>
        <v xml:space="preserve"> </v>
      </c>
      <c r="AG36" s="707" t="str">
        <f>+IFERROR(VLOOKUP($A36,'[4]SEGUIMIENTO CONTRATOS 2018'!$A:$AJ,31,0)," ")</f>
        <v xml:space="preserve"> </v>
      </c>
    </row>
    <row r="37" spans="1:33" ht="93" x14ac:dyDescent="0.25">
      <c r="A37" s="599">
        <f t="shared" si="1"/>
        <v>17</v>
      </c>
      <c r="B37" s="600" t="s">
        <v>264</v>
      </c>
      <c r="C37" s="687">
        <v>84131512</v>
      </c>
      <c r="D37" s="602" t="s">
        <v>183</v>
      </c>
      <c r="E37" s="600" t="s">
        <v>48</v>
      </c>
      <c r="F37" s="600">
        <v>1</v>
      </c>
      <c r="G37" s="603" t="s">
        <v>81</v>
      </c>
      <c r="H37" s="604">
        <v>12</v>
      </c>
      <c r="I37" s="600" t="s">
        <v>173</v>
      </c>
      <c r="J37" s="600" t="s">
        <v>35</v>
      </c>
      <c r="K37" s="600" t="s">
        <v>39</v>
      </c>
      <c r="L37" s="605">
        <v>7789818</v>
      </c>
      <c r="M37" s="606">
        <v>7789818</v>
      </c>
      <c r="N37" s="600" t="s">
        <v>51</v>
      </c>
      <c r="O37" s="600" t="s">
        <v>36</v>
      </c>
      <c r="P37" s="600" t="s">
        <v>320</v>
      </c>
      <c r="Q37" s="80"/>
      <c r="R37" s="707" t="str">
        <f>+IFERROR(VLOOKUP($A37,'[4]SEGUIMIENTO CONTRATOS 2018'!$A:$AJ,2,0)," ")</f>
        <v xml:space="preserve"> </v>
      </c>
      <c r="S37" s="707" t="str">
        <f>+IFERROR(VLOOKUP($A37,'[4]SEGUIMIENTO CONTRATOS 2018'!$A:$AJ,3,0)," ")</f>
        <v xml:space="preserve"> </v>
      </c>
      <c r="T37" s="789" t="str">
        <f>+IFERROR(VLOOKUP($A37,'[4]SEGUIMIENTO CONTRATOS 2018'!$A:$AJ,8,0)," ")</f>
        <v xml:space="preserve"> </v>
      </c>
      <c r="U37" s="707" t="str">
        <f>+IFERROR(VLOOKUP($A37,'[4]SEGUIMIENTO CONTRATOS 2018'!$A:$AJ,9,0)," ")</f>
        <v xml:space="preserve"> </v>
      </c>
      <c r="V37" s="707" t="str">
        <f>+IFERROR(VLOOKUP($A37,'[4]SEGUIMIENTO CONTRATOS 2018'!$A:$AJ,11,0)," ")</f>
        <v xml:space="preserve"> </v>
      </c>
      <c r="W37" s="790">
        <f>+IFERROR(VLOOKUP($A37,'[4]SEGUIMIENTO CONTRATOS 2018'!$A:$AJ,13,0),0)</f>
        <v>0</v>
      </c>
      <c r="X37" s="707">
        <f>+IFERROR(VLOOKUP($A37,'[4]SEGUIMIENTO CONTRATOS 2018'!$A:$AJ,14,0),0)</f>
        <v>0</v>
      </c>
      <c r="Y37" s="790">
        <f>+IFERROR(VLOOKUP($A37,'[4]SEGUIMIENTO CONTRATOS 2018'!$A:$AJ,15,0),0)</f>
        <v>0</v>
      </c>
      <c r="Z37" s="790">
        <f>+IFERROR(VLOOKUP($A37,'[4]SEGUIMIENTO CONTRATOS 2018'!$A:$AJ,15,0),0)</f>
        <v>0</v>
      </c>
      <c r="AA37" s="707" t="str">
        <f>+IFERROR(VLOOKUP($A37,'[4]SEGUIMIENTO CONTRATOS 2018'!$A:$AJ,16,0)," ")</f>
        <v xml:space="preserve"> </v>
      </c>
      <c r="AB37" s="707" t="str">
        <f>+IFERROR(VLOOKUP($A37,'[4]SEGUIMIENTO CONTRATOS 2018'!$A:$AL,38,0)," ")</f>
        <v xml:space="preserve"> </v>
      </c>
      <c r="AC37" s="707" t="str">
        <f>+IFERROR(VLOOKUP($A37,'[4]SEGUIMIENTO CONTRATOS 2018'!$A:$AJ,24,0)," ")</f>
        <v xml:space="preserve"> </v>
      </c>
      <c r="AD37" s="789" t="str">
        <f>+IFERROR(VLOOKUP($A37,'[4]SEGUIMIENTO CONTRATOS 2018'!$A:$AJ,25,0)," ")</f>
        <v xml:space="preserve"> </v>
      </c>
      <c r="AE37" s="789" t="str">
        <f>+IFERROR(VLOOKUP($A37,'[4]SEGUIMIENTO CONTRATOS 2018'!$A:$AJ,26,0)," ")</f>
        <v xml:space="preserve"> </v>
      </c>
      <c r="AF37" s="707" t="str">
        <f>+IFERROR(VLOOKUP($A37,'[4]SEGUIMIENTO CONTRATOS 2018'!$A:$AJ,30,0)," ")</f>
        <v xml:space="preserve"> </v>
      </c>
      <c r="AG37" s="707" t="str">
        <f>+IFERROR(VLOOKUP($A37,'[4]SEGUIMIENTO CONTRATOS 2018'!$A:$AJ,31,0)," ")</f>
        <v xml:space="preserve"> </v>
      </c>
    </row>
    <row r="38" spans="1:33" ht="93" x14ac:dyDescent="0.25">
      <c r="A38" s="599">
        <f t="shared" si="1"/>
        <v>18</v>
      </c>
      <c r="B38" s="600" t="s">
        <v>264</v>
      </c>
      <c r="C38" s="687">
        <v>44101501</v>
      </c>
      <c r="D38" s="602" t="s">
        <v>464</v>
      </c>
      <c r="E38" s="600" t="s">
        <v>48</v>
      </c>
      <c r="F38" s="600">
        <v>1</v>
      </c>
      <c r="G38" s="603" t="s">
        <v>76</v>
      </c>
      <c r="H38" s="604">
        <v>2</v>
      </c>
      <c r="I38" s="600" t="s">
        <v>55</v>
      </c>
      <c r="J38" s="600" t="s">
        <v>35</v>
      </c>
      <c r="K38" s="600" t="s">
        <v>195</v>
      </c>
      <c r="L38" s="605">
        <v>20000000</v>
      </c>
      <c r="M38" s="605">
        <v>20000000</v>
      </c>
      <c r="N38" s="600" t="s">
        <v>51</v>
      </c>
      <c r="O38" s="600" t="s">
        <v>36</v>
      </c>
      <c r="P38" s="600" t="s">
        <v>320</v>
      </c>
      <c r="Q38" s="80"/>
      <c r="R38" s="707" t="str">
        <f>+IFERROR(VLOOKUP($A38,'[4]SEGUIMIENTO CONTRATOS 2018'!$A:$AJ,2,0)," ")</f>
        <v xml:space="preserve"> </v>
      </c>
      <c r="S38" s="707" t="str">
        <f>+IFERROR(VLOOKUP($A38,'[4]SEGUIMIENTO CONTRATOS 2018'!$A:$AJ,3,0)," ")</f>
        <v xml:space="preserve"> </v>
      </c>
      <c r="T38" s="789" t="str">
        <f>+IFERROR(VLOOKUP($A38,'[4]SEGUIMIENTO CONTRATOS 2018'!$A:$AJ,8,0)," ")</f>
        <v xml:space="preserve"> </v>
      </c>
      <c r="U38" s="707" t="str">
        <f>+IFERROR(VLOOKUP($A38,'[4]SEGUIMIENTO CONTRATOS 2018'!$A:$AJ,9,0)," ")</f>
        <v xml:space="preserve"> </v>
      </c>
      <c r="V38" s="707" t="str">
        <f>+IFERROR(VLOOKUP($A38,'[4]SEGUIMIENTO CONTRATOS 2018'!$A:$AJ,11,0)," ")</f>
        <v xml:space="preserve"> </v>
      </c>
      <c r="W38" s="790">
        <f>+IFERROR(VLOOKUP($A38,'[4]SEGUIMIENTO CONTRATOS 2018'!$A:$AJ,13,0),0)</f>
        <v>0</v>
      </c>
      <c r="X38" s="707">
        <f>+IFERROR(VLOOKUP($A38,'[4]SEGUIMIENTO CONTRATOS 2018'!$A:$AJ,14,0),0)</f>
        <v>0</v>
      </c>
      <c r="Y38" s="790">
        <f>+IFERROR(VLOOKUP($A38,'[4]SEGUIMIENTO CONTRATOS 2018'!$A:$AJ,15,0),0)</f>
        <v>0</v>
      </c>
      <c r="Z38" s="790">
        <f>+IFERROR(VLOOKUP($A38,'[4]SEGUIMIENTO CONTRATOS 2018'!$A:$AJ,15,0),0)</f>
        <v>0</v>
      </c>
      <c r="AA38" s="707" t="str">
        <f>+IFERROR(VLOOKUP($A38,'[4]SEGUIMIENTO CONTRATOS 2018'!$A:$AJ,16,0)," ")</f>
        <v xml:space="preserve"> </v>
      </c>
      <c r="AB38" s="707" t="str">
        <f>+IFERROR(VLOOKUP($A38,'[4]SEGUIMIENTO CONTRATOS 2018'!$A:$AL,38,0)," ")</f>
        <v xml:space="preserve"> </v>
      </c>
      <c r="AC38" s="707" t="str">
        <f>+IFERROR(VLOOKUP($A38,'[4]SEGUIMIENTO CONTRATOS 2018'!$A:$AJ,24,0)," ")</f>
        <v xml:space="preserve"> </v>
      </c>
      <c r="AD38" s="789" t="str">
        <f>+IFERROR(VLOOKUP($A38,'[4]SEGUIMIENTO CONTRATOS 2018'!$A:$AJ,25,0)," ")</f>
        <v xml:space="preserve"> </v>
      </c>
      <c r="AE38" s="789" t="str">
        <f>+IFERROR(VLOOKUP($A38,'[4]SEGUIMIENTO CONTRATOS 2018'!$A:$AJ,26,0)," ")</f>
        <v xml:space="preserve"> </v>
      </c>
      <c r="AF38" s="707" t="str">
        <f>+IFERROR(VLOOKUP($A38,'[4]SEGUIMIENTO CONTRATOS 2018'!$A:$AJ,30,0)," ")</f>
        <v xml:space="preserve"> </v>
      </c>
      <c r="AG38" s="707" t="str">
        <f>+IFERROR(VLOOKUP($A38,'[4]SEGUIMIENTO CONTRATOS 2018'!$A:$AJ,31,0)," ")</f>
        <v xml:space="preserve"> </v>
      </c>
    </row>
    <row r="39" spans="1:33" ht="121.15" customHeight="1" x14ac:dyDescent="0.25">
      <c r="A39" s="599">
        <f t="shared" si="1"/>
        <v>19</v>
      </c>
      <c r="B39" s="600" t="s">
        <v>316</v>
      </c>
      <c r="C39" s="687">
        <v>78181500</v>
      </c>
      <c r="D39" s="602" t="s">
        <v>596</v>
      </c>
      <c r="E39" s="600" t="s">
        <v>48</v>
      </c>
      <c r="F39" s="600">
        <v>1</v>
      </c>
      <c r="G39" s="603" t="s">
        <v>77</v>
      </c>
      <c r="H39" s="653">
        <v>11.5</v>
      </c>
      <c r="I39" s="600" t="s">
        <v>443</v>
      </c>
      <c r="J39" s="600" t="s">
        <v>35</v>
      </c>
      <c r="K39" s="600" t="s">
        <v>461</v>
      </c>
      <c r="L39" s="605">
        <v>42250000</v>
      </c>
      <c r="M39" s="606">
        <v>2000000</v>
      </c>
      <c r="N39" s="600" t="s">
        <v>49</v>
      </c>
      <c r="O39" s="600" t="s">
        <v>447</v>
      </c>
      <c r="P39" s="600" t="s">
        <v>320</v>
      </c>
      <c r="Q39" s="80"/>
      <c r="R39" s="707" t="str">
        <f>+IFERROR(VLOOKUP($A39,'[4]SEGUIMIENTO CONTRATOS 2018'!$A:$AJ,2,0)," ")</f>
        <v xml:space="preserve"> </v>
      </c>
      <c r="S39" s="707" t="str">
        <f>+IFERROR(VLOOKUP($A39,'[4]SEGUIMIENTO CONTRATOS 2018'!$A:$AJ,3,0)," ")</f>
        <v xml:space="preserve"> </v>
      </c>
      <c r="T39" s="789" t="str">
        <f>+IFERROR(VLOOKUP($A39,'[4]SEGUIMIENTO CONTRATOS 2018'!$A:$AJ,8,0)," ")</f>
        <v xml:space="preserve"> </v>
      </c>
      <c r="U39" s="707" t="str">
        <f>+IFERROR(VLOOKUP($A39,'[4]SEGUIMIENTO CONTRATOS 2018'!$A:$AJ,9,0)," ")</f>
        <v xml:space="preserve"> </v>
      </c>
      <c r="V39" s="707" t="str">
        <f>+IFERROR(VLOOKUP($A39,'[4]SEGUIMIENTO CONTRATOS 2018'!$A:$AJ,11,0)," ")</f>
        <v xml:space="preserve"> </v>
      </c>
      <c r="W39" s="790">
        <f>+IFERROR(VLOOKUP($A39,'[4]SEGUIMIENTO CONTRATOS 2018'!$A:$AJ,13,0),0)</f>
        <v>0</v>
      </c>
      <c r="X39" s="707">
        <f>+IFERROR(VLOOKUP($A39,'[4]SEGUIMIENTO CONTRATOS 2018'!$A:$AJ,14,0),0)</f>
        <v>0</v>
      </c>
      <c r="Y39" s="790">
        <f>+IFERROR(VLOOKUP($A39,'[4]SEGUIMIENTO CONTRATOS 2018'!$A:$AJ,15,0),0)</f>
        <v>0</v>
      </c>
      <c r="Z39" s="790">
        <f>+IFERROR(VLOOKUP($A39,'[4]SEGUIMIENTO CONTRATOS 2018'!$A:$AJ,15,0),0)</f>
        <v>0</v>
      </c>
      <c r="AA39" s="707" t="str">
        <f>+IFERROR(VLOOKUP($A39,'[4]SEGUIMIENTO CONTRATOS 2018'!$A:$AJ,16,0)," ")</f>
        <v xml:space="preserve"> </v>
      </c>
      <c r="AB39" s="707" t="str">
        <f>+IFERROR(VLOOKUP($A39,'[4]SEGUIMIENTO CONTRATOS 2018'!$A:$AL,38,0)," ")</f>
        <v xml:space="preserve"> </v>
      </c>
      <c r="AC39" s="707" t="str">
        <f>+IFERROR(VLOOKUP($A39,'[4]SEGUIMIENTO CONTRATOS 2018'!$A:$AJ,24,0)," ")</f>
        <v xml:space="preserve"> </v>
      </c>
      <c r="AD39" s="789" t="str">
        <f>+IFERROR(VLOOKUP($A39,'[4]SEGUIMIENTO CONTRATOS 2018'!$A:$AJ,25,0)," ")</f>
        <v xml:space="preserve"> </v>
      </c>
      <c r="AE39" s="789" t="str">
        <f>+IFERROR(VLOOKUP($A39,'[4]SEGUIMIENTO CONTRATOS 2018'!$A:$AJ,26,0)," ")</f>
        <v xml:space="preserve"> </v>
      </c>
      <c r="AF39" s="707" t="str">
        <f>+IFERROR(VLOOKUP($A39,'[4]SEGUIMIENTO CONTRATOS 2018'!$A:$AJ,30,0)," ")</f>
        <v xml:space="preserve"> </v>
      </c>
      <c r="AG39" s="707" t="str">
        <f>+IFERROR(VLOOKUP($A39,'[4]SEGUIMIENTO CONTRATOS 2018'!$A:$AJ,31,0)," ")</f>
        <v xml:space="preserve"> </v>
      </c>
    </row>
    <row r="40" spans="1:33" ht="93" x14ac:dyDescent="0.25">
      <c r="A40" s="599">
        <f t="shared" si="1"/>
        <v>20</v>
      </c>
      <c r="B40" s="600" t="s">
        <v>316</v>
      </c>
      <c r="C40" s="687">
        <v>92101501</v>
      </c>
      <c r="D40" s="602" t="s">
        <v>462</v>
      </c>
      <c r="E40" s="600" t="s">
        <v>48</v>
      </c>
      <c r="F40" s="600">
        <v>1</v>
      </c>
      <c r="G40" s="603" t="s">
        <v>77</v>
      </c>
      <c r="H40" s="604" t="s">
        <v>472</v>
      </c>
      <c r="I40" s="600" t="s">
        <v>443</v>
      </c>
      <c r="J40" s="600" t="s">
        <v>35</v>
      </c>
      <c r="K40" s="600" t="s">
        <v>463</v>
      </c>
      <c r="L40" s="606">
        <v>198559433</v>
      </c>
      <c r="M40" s="606">
        <v>9000000</v>
      </c>
      <c r="N40" s="600" t="s">
        <v>49</v>
      </c>
      <c r="O40" s="600" t="s">
        <v>447</v>
      </c>
      <c r="P40" s="600" t="s">
        <v>320</v>
      </c>
      <c r="Q40" s="80"/>
      <c r="R40" s="707" t="str">
        <f>+IFERROR(VLOOKUP($A40,'[4]SEGUIMIENTO CONTRATOS 2018'!$A:$AJ,2,0)," ")</f>
        <v xml:space="preserve"> </v>
      </c>
      <c r="S40" s="707" t="str">
        <f>+IFERROR(VLOOKUP($A40,'[4]SEGUIMIENTO CONTRATOS 2018'!$A:$AJ,3,0)," ")</f>
        <v xml:space="preserve"> </v>
      </c>
      <c r="T40" s="789" t="str">
        <f>+IFERROR(VLOOKUP($A40,'[4]SEGUIMIENTO CONTRATOS 2018'!$A:$AJ,8,0)," ")</f>
        <v xml:space="preserve"> </v>
      </c>
      <c r="U40" s="707" t="str">
        <f>+IFERROR(VLOOKUP($A40,'[4]SEGUIMIENTO CONTRATOS 2018'!$A:$AJ,9,0)," ")</f>
        <v xml:space="preserve"> </v>
      </c>
      <c r="V40" s="707" t="str">
        <f>+IFERROR(VLOOKUP($A40,'[4]SEGUIMIENTO CONTRATOS 2018'!$A:$AJ,11,0)," ")</f>
        <v xml:space="preserve"> </v>
      </c>
      <c r="W40" s="790">
        <f>+IFERROR(VLOOKUP($A40,'[4]SEGUIMIENTO CONTRATOS 2018'!$A:$AJ,13,0),0)</f>
        <v>0</v>
      </c>
      <c r="X40" s="707">
        <f>+IFERROR(VLOOKUP($A40,'[4]SEGUIMIENTO CONTRATOS 2018'!$A:$AJ,14,0),0)</f>
        <v>0</v>
      </c>
      <c r="Y40" s="790">
        <f>+IFERROR(VLOOKUP($A40,'[4]SEGUIMIENTO CONTRATOS 2018'!$A:$AJ,15,0),0)</f>
        <v>0</v>
      </c>
      <c r="Z40" s="790">
        <f>+IFERROR(VLOOKUP($A40,'[4]SEGUIMIENTO CONTRATOS 2018'!$A:$AJ,15,0),0)</f>
        <v>0</v>
      </c>
      <c r="AA40" s="707" t="str">
        <f>+IFERROR(VLOOKUP($A40,'[4]SEGUIMIENTO CONTRATOS 2018'!$A:$AJ,16,0)," ")</f>
        <v xml:space="preserve"> </v>
      </c>
      <c r="AB40" s="707" t="str">
        <f>+IFERROR(VLOOKUP($A40,'[4]SEGUIMIENTO CONTRATOS 2018'!$A:$AL,38,0)," ")</f>
        <v xml:space="preserve"> </v>
      </c>
      <c r="AC40" s="707" t="str">
        <f>+IFERROR(VLOOKUP($A40,'[4]SEGUIMIENTO CONTRATOS 2018'!$A:$AJ,24,0)," ")</f>
        <v xml:space="preserve"> </v>
      </c>
      <c r="AD40" s="789" t="str">
        <f>+IFERROR(VLOOKUP($A40,'[4]SEGUIMIENTO CONTRATOS 2018'!$A:$AJ,25,0)," ")</f>
        <v xml:space="preserve"> </v>
      </c>
      <c r="AE40" s="789" t="str">
        <f>+IFERROR(VLOOKUP($A40,'[4]SEGUIMIENTO CONTRATOS 2018'!$A:$AJ,26,0)," ")</f>
        <v xml:space="preserve"> </v>
      </c>
      <c r="AF40" s="707" t="str">
        <f>+IFERROR(VLOOKUP($A40,'[4]SEGUIMIENTO CONTRATOS 2018'!$A:$AJ,30,0)," ")</f>
        <v xml:space="preserve"> </v>
      </c>
      <c r="AG40" s="707" t="str">
        <f>+IFERROR(VLOOKUP($A40,'[4]SEGUIMIENTO CONTRATOS 2018'!$A:$AJ,31,0)," ")</f>
        <v xml:space="preserve"> </v>
      </c>
    </row>
    <row r="41" spans="1:33" ht="93" x14ac:dyDescent="0.25">
      <c r="A41" s="599">
        <f t="shared" si="1"/>
        <v>21</v>
      </c>
      <c r="B41" s="600" t="s">
        <v>264</v>
      </c>
      <c r="C41" s="687">
        <v>44110000</v>
      </c>
      <c r="D41" s="602" t="s">
        <v>228</v>
      </c>
      <c r="E41" s="600" t="s">
        <v>48</v>
      </c>
      <c r="F41" s="600">
        <v>1</v>
      </c>
      <c r="G41" s="603" t="s">
        <v>76</v>
      </c>
      <c r="H41" s="604" t="s">
        <v>156</v>
      </c>
      <c r="I41" s="600" t="s">
        <v>53</v>
      </c>
      <c r="J41" s="600" t="s">
        <v>35</v>
      </c>
      <c r="K41" s="600" t="s">
        <v>41</v>
      </c>
      <c r="L41" s="605">
        <v>450000</v>
      </c>
      <c r="M41" s="606">
        <v>450000</v>
      </c>
      <c r="N41" s="600" t="s">
        <v>51</v>
      </c>
      <c r="O41" s="600" t="s">
        <v>36</v>
      </c>
      <c r="P41" s="600" t="s">
        <v>320</v>
      </c>
      <c r="Q41" s="80"/>
      <c r="R41" s="707" t="str">
        <f>+IFERROR(VLOOKUP($A41,'[4]SEGUIMIENTO CONTRATOS 2018'!$A:$AJ,2,0)," ")</f>
        <v xml:space="preserve"> </v>
      </c>
      <c r="S41" s="707" t="str">
        <f>+IFERROR(VLOOKUP($A41,'[4]SEGUIMIENTO CONTRATOS 2018'!$A:$AJ,3,0)," ")</f>
        <v xml:space="preserve"> </v>
      </c>
      <c r="T41" s="789" t="str">
        <f>+IFERROR(VLOOKUP($A41,'[4]SEGUIMIENTO CONTRATOS 2018'!$A:$AJ,8,0)," ")</f>
        <v xml:space="preserve"> </v>
      </c>
      <c r="U41" s="707" t="str">
        <f>+IFERROR(VLOOKUP($A41,'[4]SEGUIMIENTO CONTRATOS 2018'!$A:$AJ,9,0)," ")</f>
        <v xml:space="preserve"> </v>
      </c>
      <c r="V41" s="707" t="str">
        <f>+IFERROR(VLOOKUP($A41,'[4]SEGUIMIENTO CONTRATOS 2018'!$A:$AJ,11,0)," ")</f>
        <v xml:space="preserve"> </v>
      </c>
      <c r="W41" s="790">
        <f>+IFERROR(VLOOKUP($A41,'[4]SEGUIMIENTO CONTRATOS 2018'!$A:$AJ,13,0),0)</f>
        <v>0</v>
      </c>
      <c r="X41" s="707">
        <f>+IFERROR(VLOOKUP($A41,'[4]SEGUIMIENTO CONTRATOS 2018'!$A:$AJ,14,0),0)</f>
        <v>0</v>
      </c>
      <c r="Y41" s="790">
        <f>+IFERROR(VLOOKUP($A41,'[4]SEGUIMIENTO CONTRATOS 2018'!$A:$AJ,15,0),0)</f>
        <v>0</v>
      </c>
      <c r="Z41" s="790">
        <f>+IFERROR(VLOOKUP($A41,'[4]SEGUIMIENTO CONTRATOS 2018'!$A:$AJ,15,0),0)</f>
        <v>0</v>
      </c>
      <c r="AA41" s="707" t="str">
        <f>+IFERROR(VLOOKUP($A41,'[4]SEGUIMIENTO CONTRATOS 2018'!$A:$AJ,16,0)," ")</f>
        <v xml:space="preserve"> </v>
      </c>
      <c r="AB41" s="707" t="str">
        <f>+IFERROR(VLOOKUP($A41,'[4]SEGUIMIENTO CONTRATOS 2018'!$A:$AL,38,0)," ")</f>
        <v xml:space="preserve"> </v>
      </c>
      <c r="AC41" s="707" t="str">
        <f>+IFERROR(VLOOKUP($A41,'[4]SEGUIMIENTO CONTRATOS 2018'!$A:$AJ,24,0)," ")</f>
        <v xml:space="preserve"> </v>
      </c>
      <c r="AD41" s="789" t="str">
        <f>+IFERROR(VLOOKUP($A41,'[4]SEGUIMIENTO CONTRATOS 2018'!$A:$AJ,25,0)," ")</f>
        <v xml:space="preserve"> </v>
      </c>
      <c r="AE41" s="789" t="str">
        <f>+IFERROR(VLOOKUP($A41,'[4]SEGUIMIENTO CONTRATOS 2018'!$A:$AJ,26,0)," ")</f>
        <v xml:space="preserve"> </v>
      </c>
      <c r="AF41" s="707" t="str">
        <f>+IFERROR(VLOOKUP($A41,'[4]SEGUIMIENTO CONTRATOS 2018'!$A:$AJ,30,0)," ")</f>
        <v xml:space="preserve"> </v>
      </c>
      <c r="AG41" s="707" t="str">
        <f>+IFERROR(VLOOKUP($A41,'[4]SEGUIMIENTO CONTRATOS 2018'!$A:$AJ,31,0)," ")</f>
        <v xml:space="preserve"> </v>
      </c>
    </row>
    <row r="42" spans="1:33" ht="97.5" x14ac:dyDescent="0.25">
      <c r="A42" s="905">
        <f t="shared" si="1"/>
        <v>22</v>
      </c>
      <c r="B42" s="691" t="s">
        <v>264</v>
      </c>
      <c r="C42" s="692">
        <v>81111820</v>
      </c>
      <c r="D42" s="693" t="s">
        <v>655</v>
      </c>
      <c r="E42" s="691" t="s">
        <v>48</v>
      </c>
      <c r="F42" s="691">
        <v>1</v>
      </c>
      <c r="G42" s="694" t="s">
        <v>73</v>
      </c>
      <c r="H42" s="695" t="s">
        <v>472</v>
      </c>
      <c r="I42" s="691" t="s">
        <v>61</v>
      </c>
      <c r="J42" s="691" t="s">
        <v>35</v>
      </c>
      <c r="K42" s="691" t="s">
        <v>37</v>
      </c>
      <c r="L42" s="696">
        <v>6300000</v>
      </c>
      <c r="M42" s="697">
        <v>6300000</v>
      </c>
      <c r="N42" s="691" t="s">
        <v>51</v>
      </c>
      <c r="O42" s="691" t="s">
        <v>36</v>
      </c>
      <c r="P42" s="691" t="s">
        <v>320</v>
      </c>
      <c r="Q42" s="80"/>
      <c r="R42" s="698" t="str">
        <f>+IFERROR(VLOOKUP($A42,'[4]SEGUIMIENTO CONTRATOS 2018'!$A:$AJ,2,0)," ")</f>
        <v>143-2018</v>
      </c>
      <c r="S42" s="698" t="str">
        <f>+IFERROR(VLOOKUP($A42,'[4]SEGUIMIENTO CONTRATOS 2018'!$A:$AJ,3,0)," ")</f>
        <v>E &amp; M INGENIERIA S.A.S.</v>
      </c>
      <c r="T42" s="751">
        <f>+IFERROR(VLOOKUP($A42,'[4]SEGUIMIENTO CONTRATOS 2018'!$A:$AJ,8,0)," ")</f>
        <v>43126</v>
      </c>
      <c r="U42" s="698" t="str">
        <f>+IFERROR(VLOOKUP($A42,'[4]SEGUIMIENTO CONTRATOS 2018'!$A:$AJ,9,0)," ")</f>
        <v>Adquirir la suscripción, soporte técnico, transferencia de conocimientos y mantenimiento del Sistema de Turnos Web, de la entidad.</v>
      </c>
      <c r="V42" s="698" t="str">
        <f>+IFERROR(VLOOKUP($A42,'[4]SEGUIMIENTO CONTRATOS 2018'!$A:$AJ,11,0)," ")</f>
        <v>CONTRATO DE COMPRAVENTA</v>
      </c>
      <c r="W42" s="752">
        <f>+IFERROR(VLOOKUP($A42,'[4]SEGUIMIENTO CONTRATOS 2018'!$A:$AJ,13,0),0)</f>
        <v>6064473</v>
      </c>
      <c r="X42" s="698">
        <f>+IFERROR(VLOOKUP($A42,'[4]SEGUIMIENTO CONTRATOS 2018'!$A:$AJ,14,0),0)</f>
        <v>0</v>
      </c>
      <c r="Y42" s="752">
        <f>+IFERROR(VLOOKUP($A42,'[4]SEGUIMIENTO CONTRATOS 2018'!$A:$AJ,15,0),0)</f>
        <v>6064473</v>
      </c>
      <c r="Z42" s="752">
        <f>+IFERROR(VLOOKUP($A42,'[4]SEGUIMIENTO CONTRATOS 2018'!$A:$AJ,15,0),0)</f>
        <v>6064473</v>
      </c>
      <c r="AA42" s="698" t="str">
        <f>+IFERROR(VLOOKUP($A42,'[4]SEGUIMIENTO CONTRATOS 2018'!$A:$AJ,16,0)," ")</f>
        <v>Un (1) unico pago por valor de SEIS MILLONES SESENTA Y CUATRO MIL CUATROCIENTOS SETENTA Y TRES PESOS ($6'064,473) M/CTE en el mes de marzo de 2018</v>
      </c>
      <c r="AB42" s="698" t="str">
        <f>+IFERROR(VLOOKUP($A42,'[4]SEGUIMIENTO CONTRATOS 2018'!$A:$AL,38,0)," ")</f>
        <v>17418</v>
      </c>
      <c r="AC42" s="698" t="str">
        <f>+IFERROR(VLOOKUP($A42,'[4]SEGUIMIENTO CONTRATOS 2018'!$A:$AJ,24,0)," ")</f>
        <v xml:space="preserve">Doce (12) meses, contados a partir del perfeccionamiento del contrato, aprobación de pólizas y registro presupuestal. </v>
      </c>
      <c r="AD42" s="751">
        <f>+IFERROR(VLOOKUP($A42,'[4]SEGUIMIENTO CONTRATOS 2018'!$A:$AJ,25,0)," ")</f>
        <v>43133</v>
      </c>
      <c r="AE42" s="751">
        <f>+IFERROR(VLOOKUP($A42,'[4]SEGUIMIENTO CONTRATOS 2018'!$A:$AJ,26,0)," ")</f>
        <v>43497</v>
      </c>
      <c r="AF42" s="698" t="str">
        <f>+IFERROR(VLOOKUP($A42,'[4]SEGUIMIENTO CONTRATOS 2018'!$A:$AJ,30,0)," ")</f>
        <v xml:space="preserve">EDWIN SANCHEZ ROZO </v>
      </c>
      <c r="AG42" s="698" t="str">
        <f>+IFERROR(VLOOKUP($A42,'[4]SEGUIMIENTO CONTRATOS 2018'!$A:$AJ,31,0)," ")</f>
        <v xml:space="preserve">GRUPO DE GESTION ADMINISTRATIVA </v>
      </c>
    </row>
    <row r="43" spans="1:33" ht="91.9" customHeight="1" x14ac:dyDescent="0.25">
      <c r="A43" s="887"/>
      <c r="B43" s="749" t="s">
        <v>264</v>
      </c>
      <c r="C43" s="701">
        <v>81111820</v>
      </c>
      <c r="D43" s="702" t="s">
        <v>620</v>
      </c>
      <c r="E43" s="700" t="s">
        <v>48</v>
      </c>
      <c r="F43" s="700">
        <v>1</v>
      </c>
      <c r="G43" s="683" t="s">
        <v>75</v>
      </c>
      <c r="H43" s="704" t="s">
        <v>156</v>
      </c>
      <c r="I43" s="700" t="s">
        <v>621</v>
      </c>
      <c r="J43" s="700" t="s">
        <v>35</v>
      </c>
      <c r="K43" s="700" t="s">
        <v>195</v>
      </c>
      <c r="L43" s="705">
        <v>7400000</v>
      </c>
      <c r="M43" s="706">
        <v>7400000</v>
      </c>
      <c r="N43" s="700" t="s">
        <v>51</v>
      </c>
      <c r="O43" s="700" t="s">
        <v>36</v>
      </c>
      <c r="P43" s="700" t="s">
        <v>320</v>
      </c>
      <c r="Q43" s="80"/>
      <c r="R43" s="707"/>
      <c r="S43" s="707"/>
      <c r="T43" s="708"/>
      <c r="U43" s="709"/>
      <c r="V43" s="710"/>
      <c r="W43" s="711"/>
      <c r="X43" s="712"/>
      <c r="Y43" s="730">
        <f t="shared" si="2"/>
        <v>0</v>
      </c>
      <c r="Z43" s="711"/>
      <c r="AA43" s="709"/>
      <c r="AB43" s="709"/>
      <c r="AC43" s="713"/>
      <c r="AD43" s="714"/>
      <c r="AE43" s="714"/>
      <c r="AF43" s="715"/>
      <c r="AG43" s="716"/>
    </row>
    <row r="44" spans="1:33" ht="93" x14ac:dyDescent="0.25">
      <c r="A44" s="717">
        <f>SUM(A42+1)</f>
        <v>23</v>
      </c>
      <c r="B44" s="700" t="s">
        <v>492</v>
      </c>
      <c r="C44" s="701">
        <v>43211701</v>
      </c>
      <c r="D44" s="702" t="s">
        <v>493</v>
      </c>
      <c r="E44" s="700" t="s">
        <v>48</v>
      </c>
      <c r="F44" s="700">
        <v>1</v>
      </c>
      <c r="G44" s="703" t="s">
        <v>76</v>
      </c>
      <c r="H44" s="704" t="s">
        <v>156</v>
      </c>
      <c r="I44" s="700" t="s">
        <v>53</v>
      </c>
      <c r="J44" s="700" t="s">
        <v>35</v>
      </c>
      <c r="K44" s="700" t="s">
        <v>195</v>
      </c>
      <c r="L44" s="705">
        <v>16400000</v>
      </c>
      <c r="M44" s="706">
        <v>16400000</v>
      </c>
      <c r="N44" s="700" t="s">
        <v>51</v>
      </c>
      <c r="O44" s="700" t="s">
        <v>36</v>
      </c>
      <c r="P44" s="700" t="s">
        <v>308</v>
      </c>
      <c r="Q44" s="80"/>
      <c r="R44" s="707" t="str">
        <f>+IFERROR(VLOOKUP($A44,'[4]SEGUIMIENTO CONTRATOS 2018'!$A:$AJ,2,0)," ")</f>
        <v xml:space="preserve"> </v>
      </c>
      <c r="S44" s="707" t="str">
        <f>+IFERROR(VLOOKUP($A44,'[4]SEGUIMIENTO CONTRATOS 2018'!$A:$AJ,3,0)," ")</f>
        <v xml:space="preserve"> </v>
      </c>
      <c r="T44" s="789" t="str">
        <f>+IFERROR(VLOOKUP($A44,'[4]SEGUIMIENTO CONTRATOS 2018'!$A:$AJ,8,0)," ")</f>
        <v xml:space="preserve"> </v>
      </c>
      <c r="U44" s="707" t="str">
        <f>+IFERROR(VLOOKUP($A44,'[4]SEGUIMIENTO CONTRATOS 2018'!$A:$AJ,9,0)," ")</f>
        <v xml:space="preserve"> </v>
      </c>
      <c r="V44" s="707" t="str">
        <f>+IFERROR(VLOOKUP($A44,'[4]SEGUIMIENTO CONTRATOS 2018'!$A:$AJ,11,0)," ")</f>
        <v xml:space="preserve"> </v>
      </c>
      <c r="W44" s="790">
        <f>+IFERROR(VLOOKUP($A44,'[4]SEGUIMIENTO CONTRATOS 2018'!$A:$AJ,13,0),0)</f>
        <v>0</v>
      </c>
      <c r="X44" s="707">
        <f>+IFERROR(VLOOKUP($A44,'[4]SEGUIMIENTO CONTRATOS 2018'!$A:$AJ,14,0),0)</f>
        <v>0</v>
      </c>
      <c r="Y44" s="790">
        <f>+IFERROR(VLOOKUP($A44,'[4]SEGUIMIENTO CONTRATOS 2018'!$A:$AJ,15,0),0)</f>
        <v>0</v>
      </c>
      <c r="Z44" s="790">
        <f>+IFERROR(VLOOKUP($A44,'[4]SEGUIMIENTO CONTRATOS 2018'!$A:$AJ,15,0),0)</f>
        <v>0</v>
      </c>
      <c r="AA44" s="707" t="str">
        <f>+IFERROR(VLOOKUP($A44,'[4]SEGUIMIENTO CONTRATOS 2018'!$A:$AJ,16,0)," ")</f>
        <v xml:space="preserve"> </v>
      </c>
      <c r="AB44" s="707" t="str">
        <f>+IFERROR(VLOOKUP($A44,'[4]SEGUIMIENTO CONTRATOS 2018'!$A:$AL,38,0)," ")</f>
        <v xml:space="preserve"> </v>
      </c>
      <c r="AC44" s="707" t="str">
        <f>+IFERROR(VLOOKUP($A44,'[4]SEGUIMIENTO CONTRATOS 2018'!$A:$AJ,24,0)," ")</f>
        <v xml:space="preserve"> </v>
      </c>
      <c r="AD44" s="789" t="str">
        <f>+IFERROR(VLOOKUP($A44,'[4]SEGUIMIENTO CONTRATOS 2018'!$A:$AJ,25,0)," ")</f>
        <v xml:space="preserve"> </v>
      </c>
      <c r="AE44" s="789" t="str">
        <f>+IFERROR(VLOOKUP($A44,'[4]SEGUIMIENTO CONTRATOS 2018'!$A:$AJ,26,0)," ")</f>
        <v xml:space="preserve"> </v>
      </c>
      <c r="AF44" s="707" t="str">
        <f>+IFERROR(VLOOKUP($A44,'[4]SEGUIMIENTO CONTRATOS 2018'!$A:$AJ,30,0)," ")</f>
        <v xml:space="preserve"> </v>
      </c>
      <c r="AG44" s="707" t="str">
        <f>+IFERROR(VLOOKUP($A44,'[4]SEGUIMIENTO CONTRATOS 2018'!$A:$AJ,31,0)," ")</f>
        <v xml:space="preserve"> </v>
      </c>
    </row>
    <row r="45" spans="1:33" ht="93" x14ac:dyDescent="0.25">
      <c r="A45" s="717">
        <f t="shared" si="1"/>
        <v>24</v>
      </c>
      <c r="B45" s="700" t="s">
        <v>264</v>
      </c>
      <c r="C45" s="701">
        <v>44101706</v>
      </c>
      <c r="D45" s="702" t="s">
        <v>465</v>
      </c>
      <c r="E45" s="700" t="s">
        <v>48</v>
      </c>
      <c r="F45" s="700">
        <v>1</v>
      </c>
      <c r="G45" s="703" t="s">
        <v>75</v>
      </c>
      <c r="H45" s="704">
        <v>2</v>
      </c>
      <c r="I45" s="700" t="s">
        <v>53</v>
      </c>
      <c r="J45" s="700" t="s">
        <v>35</v>
      </c>
      <c r="K45" s="700" t="s">
        <v>44</v>
      </c>
      <c r="L45" s="705">
        <v>3000000</v>
      </c>
      <c r="M45" s="705">
        <v>3000000</v>
      </c>
      <c r="N45" s="700" t="s">
        <v>51</v>
      </c>
      <c r="O45" s="700" t="s">
        <v>36</v>
      </c>
      <c r="P45" s="700" t="s">
        <v>320</v>
      </c>
      <c r="Q45" s="80"/>
      <c r="R45" s="707" t="str">
        <f>+IFERROR(VLOOKUP($A45,'[4]SEGUIMIENTO CONTRATOS 2018'!$A:$AJ,2,0)," ")</f>
        <v xml:space="preserve"> </v>
      </c>
      <c r="S45" s="707" t="str">
        <f>+IFERROR(VLOOKUP($A45,'[4]SEGUIMIENTO CONTRATOS 2018'!$A:$AJ,3,0)," ")</f>
        <v xml:space="preserve"> </v>
      </c>
      <c r="T45" s="789" t="str">
        <f>+IFERROR(VLOOKUP($A45,'[4]SEGUIMIENTO CONTRATOS 2018'!$A:$AJ,8,0)," ")</f>
        <v xml:space="preserve"> </v>
      </c>
      <c r="U45" s="707" t="str">
        <f>+IFERROR(VLOOKUP($A45,'[4]SEGUIMIENTO CONTRATOS 2018'!$A:$AJ,9,0)," ")</f>
        <v xml:space="preserve"> </v>
      </c>
      <c r="V45" s="707" t="str">
        <f>+IFERROR(VLOOKUP($A45,'[4]SEGUIMIENTO CONTRATOS 2018'!$A:$AJ,11,0)," ")</f>
        <v xml:space="preserve"> </v>
      </c>
      <c r="W45" s="790">
        <f>+IFERROR(VLOOKUP($A45,'[4]SEGUIMIENTO CONTRATOS 2018'!$A:$AJ,13,0),0)</f>
        <v>0</v>
      </c>
      <c r="X45" s="707">
        <f>+IFERROR(VLOOKUP($A45,'[4]SEGUIMIENTO CONTRATOS 2018'!$A:$AJ,14,0),0)</f>
        <v>0</v>
      </c>
      <c r="Y45" s="790">
        <f>+IFERROR(VLOOKUP($A45,'[4]SEGUIMIENTO CONTRATOS 2018'!$A:$AJ,15,0),0)</f>
        <v>0</v>
      </c>
      <c r="Z45" s="790">
        <f>+IFERROR(VLOOKUP($A45,'[4]SEGUIMIENTO CONTRATOS 2018'!$A:$AJ,15,0),0)</f>
        <v>0</v>
      </c>
      <c r="AA45" s="707" t="str">
        <f>+IFERROR(VLOOKUP($A45,'[4]SEGUIMIENTO CONTRATOS 2018'!$A:$AJ,16,0)," ")</f>
        <v xml:space="preserve"> </v>
      </c>
      <c r="AB45" s="707" t="str">
        <f>+IFERROR(VLOOKUP($A45,'[4]SEGUIMIENTO CONTRATOS 2018'!$A:$AL,38,0)," ")</f>
        <v xml:space="preserve"> </v>
      </c>
      <c r="AC45" s="707" t="str">
        <f>+IFERROR(VLOOKUP($A45,'[4]SEGUIMIENTO CONTRATOS 2018'!$A:$AJ,24,0)," ")</f>
        <v xml:space="preserve"> </v>
      </c>
      <c r="AD45" s="789" t="str">
        <f>+IFERROR(VLOOKUP($A45,'[4]SEGUIMIENTO CONTRATOS 2018'!$A:$AJ,25,0)," ")</f>
        <v xml:space="preserve"> </v>
      </c>
      <c r="AE45" s="789" t="str">
        <f>+IFERROR(VLOOKUP($A45,'[4]SEGUIMIENTO CONTRATOS 2018'!$A:$AJ,26,0)," ")</f>
        <v xml:space="preserve"> </v>
      </c>
      <c r="AF45" s="707" t="str">
        <f>+IFERROR(VLOOKUP($A45,'[4]SEGUIMIENTO CONTRATOS 2018'!$A:$AJ,30,0)," ")</f>
        <v xml:space="preserve"> </v>
      </c>
      <c r="AG45" s="707" t="str">
        <f>+IFERROR(VLOOKUP($A45,'[4]SEGUIMIENTO CONTRATOS 2018'!$A:$AJ,31,0)," ")</f>
        <v xml:space="preserve"> </v>
      </c>
    </row>
    <row r="46" spans="1:33" ht="93" x14ac:dyDescent="0.25">
      <c r="A46" s="717">
        <f t="shared" si="1"/>
        <v>25</v>
      </c>
      <c r="B46" s="700" t="s">
        <v>198</v>
      </c>
      <c r="C46" s="701">
        <v>44121636</v>
      </c>
      <c r="D46" s="702" t="s">
        <v>548</v>
      </c>
      <c r="E46" s="700" t="s">
        <v>48</v>
      </c>
      <c r="F46" s="700">
        <v>1</v>
      </c>
      <c r="G46" s="703" t="s">
        <v>75</v>
      </c>
      <c r="H46" s="704" t="s">
        <v>156</v>
      </c>
      <c r="I46" s="700" t="s">
        <v>53</v>
      </c>
      <c r="J46" s="700" t="s">
        <v>35</v>
      </c>
      <c r="K46" s="700" t="s">
        <v>195</v>
      </c>
      <c r="L46" s="705">
        <v>200000</v>
      </c>
      <c r="M46" s="706">
        <v>200000</v>
      </c>
      <c r="N46" s="700" t="s">
        <v>51</v>
      </c>
      <c r="O46" s="700" t="s">
        <v>36</v>
      </c>
      <c r="P46" s="700" t="s">
        <v>546</v>
      </c>
      <c r="Q46" s="80"/>
      <c r="R46" s="707" t="str">
        <f>+IFERROR(VLOOKUP($A46,'[4]SEGUIMIENTO CONTRATOS 2018'!$A:$AJ,2,0)," ")</f>
        <v xml:space="preserve"> </v>
      </c>
      <c r="S46" s="707" t="str">
        <f>+IFERROR(VLOOKUP($A46,'[4]SEGUIMIENTO CONTRATOS 2018'!$A:$AJ,3,0)," ")</f>
        <v xml:space="preserve"> </v>
      </c>
      <c r="T46" s="789" t="str">
        <f>+IFERROR(VLOOKUP($A46,'[4]SEGUIMIENTO CONTRATOS 2018'!$A:$AJ,8,0)," ")</f>
        <v xml:space="preserve"> </v>
      </c>
      <c r="U46" s="707" t="str">
        <f>+IFERROR(VLOOKUP($A46,'[4]SEGUIMIENTO CONTRATOS 2018'!$A:$AJ,9,0)," ")</f>
        <v xml:space="preserve"> </v>
      </c>
      <c r="V46" s="707" t="str">
        <f>+IFERROR(VLOOKUP($A46,'[4]SEGUIMIENTO CONTRATOS 2018'!$A:$AJ,11,0)," ")</f>
        <v xml:space="preserve"> </v>
      </c>
      <c r="W46" s="790">
        <f>+IFERROR(VLOOKUP($A46,'[4]SEGUIMIENTO CONTRATOS 2018'!$A:$AJ,13,0),0)</f>
        <v>0</v>
      </c>
      <c r="X46" s="707">
        <f>+IFERROR(VLOOKUP($A46,'[4]SEGUIMIENTO CONTRATOS 2018'!$A:$AJ,14,0),0)</f>
        <v>0</v>
      </c>
      <c r="Y46" s="790">
        <f>+IFERROR(VLOOKUP($A46,'[4]SEGUIMIENTO CONTRATOS 2018'!$A:$AJ,15,0),0)</f>
        <v>0</v>
      </c>
      <c r="Z46" s="790">
        <f>+IFERROR(VLOOKUP($A46,'[4]SEGUIMIENTO CONTRATOS 2018'!$A:$AJ,15,0),0)</f>
        <v>0</v>
      </c>
      <c r="AA46" s="707" t="str">
        <f>+IFERROR(VLOOKUP($A46,'[4]SEGUIMIENTO CONTRATOS 2018'!$A:$AJ,16,0)," ")</f>
        <v xml:space="preserve"> </v>
      </c>
      <c r="AB46" s="707" t="str">
        <f>+IFERROR(VLOOKUP($A46,'[4]SEGUIMIENTO CONTRATOS 2018'!$A:$AL,38,0)," ")</f>
        <v xml:space="preserve"> </v>
      </c>
      <c r="AC46" s="707" t="str">
        <f>+IFERROR(VLOOKUP($A46,'[4]SEGUIMIENTO CONTRATOS 2018'!$A:$AJ,24,0)," ")</f>
        <v xml:space="preserve"> </v>
      </c>
      <c r="AD46" s="789" t="str">
        <f>+IFERROR(VLOOKUP($A46,'[4]SEGUIMIENTO CONTRATOS 2018'!$A:$AJ,25,0)," ")</f>
        <v xml:space="preserve"> </v>
      </c>
      <c r="AE46" s="789" t="str">
        <f>+IFERROR(VLOOKUP($A46,'[4]SEGUIMIENTO CONTRATOS 2018'!$A:$AJ,26,0)," ")</f>
        <v xml:space="preserve"> </v>
      </c>
      <c r="AF46" s="707" t="str">
        <f>+IFERROR(VLOOKUP($A46,'[4]SEGUIMIENTO CONTRATOS 2018'!$A:$AJ,30,0)," ")</f>
        <v xml:space="preserve"> </v>
      </c>
      <c r="AG46" s="707" t="str">
        <f>+IFERROR(VLOOKUP($A46,'[4]SEGUIMIENTO CONTRATOS 2018'!$A:$AJ,31,0)," ")</f>
        <v xml:space="preserve"> </v>
      </c>
    </row>
    <row r="47" spans="1:33" ht="93" x14ac:dyDescent="0.25">
      <c r="A47" s="717">
        <f t="shared" si="1"/>
        <v>26</v>
      </c>
      <c r="B47" s="700" t="s">
        <v>316</v>
      </c>
      <c r="C47" s="701">
        <v>72152302</v>
      </c>
      <c r="D47" s="702" t="s">
        <v>467</v>
      </c>
      <c r="E47" s="700" t="s">
        <v>59</v>
      </c>
      <c r="F47" s="700">
        <v>1</v>
      </c>
      <c r="G47" s="703" t="s">
        <v>75</v>
      </c>
      <c r="H47" s="704" t="s">
        <v>156</v>
      </c>
      <c r="I47" s="700" t="s">
        <v>55</v>
      </c>
      <c r="J47" s="700" t="s">
        <v>35</v>
      </c>
      <c r="K47" s="700" t="s">
        <v>37</v>
      </c>
      <c r="L47" s="705">
        <v>1400000</v>
      </c>
      <c r="M47" s="705">
        <v>1400000</v>
      </c>
      <c r="N47" s="700" t="s">
        <v>51</v>
      </c>
      <c r="O47" s="700" t="s">
        <v>36</v>
      </c>
      <c r="P47" s="700" t="s">
        <v>320</v>
      </c>
      <c r="Q47" s="80"/>
      <c r="R47" s="707" t="str">
        <f>+IFERROR(VLOOKUP($A47,'[4]SEGUIMIENTO CONTRATOS 2018'!$A:$AJ,2,0)," ")</f>
        <v xml:space="preserve"> </v>
      </c>
      <c r="S47" s="707" t="str">
        <f>+IFERROR(VLOOKUP($A47,'[4]SEGUIMIENTO CONTRATOS 2018'!$A:$AJ,3,0)," ")</f>
        <v xml:space="preserve"> </v>
      </c>
      <c r="T47" s="789" t="str">
        <f>+IFERROR(VLOOKUP($A47,'[4]SEGUIMIENTO CONTRATOS 2018'!$A:$AJ,8,0)," ")</f>
        <v xml:space="preserve"> </v>
      </c>
      <c r="U47" s="707" t="str">
        <f>+IFERROR(VLOOKUP($A47,'[4]SEGUIMIENTO CONTRATOS 2018'!$A:$AJ,9,0)," ")</f>
        <v xml:space="preserve"> </v>
      </c>
      <c r="V47" s="707" t="str">
        <f>+IFERROR(VLOOKUP($A47,'[4]SEGUIMIENTO CONTRATOS 2018'!$A:$AJ,11,0)," ")</f>
        <v xml:space="preserve"> </v>
      </c>
      <c r="W47" s="790">
        <f>+IFERROR(VLOOKUP($A47,'[4]SEGUIMIENTO CONTRATOS 2018'!$A:$AJ,13,0),0)</f>
        <v>0</v>
      </c>
      <c r="X47" s="707">
        <f>+IFERROR(VLOOKUP($A47,'[4]SEGUIMIENTO CONTRATOS 2018'!$A:$AJ,14,0),0)</f>
        <v>0</v>
      </c>
      <c r="Y47" s="790">
        <f>+IFERROR(VLOOKUP($A47,'[4]SEGUIMIENTO CONTRATOS 2018'!$A:$AJ,15,0),0)</f>
        <v>0</v>
      </c>
      <c r="Z47" s="790">
        <f>+IFERROR(VLOOKUP($A47,'[4]SEGUIMIENTO CONTRATOS 2018'!$A:$AJ,15,0),0)</f>
        <v>0</v>
      </c>
      <c r="AA47" s="707" t="str">
        <f>+IFERROR(VLOOKUP($A47,'[4]SEGUIMIENTO CONTRATOS 2018'!$A:$AJ,16,0)," ")</f>
        <v xml:space="preserve"> </v>
      </c>
      <c r="AB47" s="707" t="str">
        <f>+IFERROR(VLOOKUP($A47,'[4]SEGUIMIENTO CONTRATOS 2018'!$A:$AL,38,0)," ")</f>
        <v xml:space="preserve"> </v>
      </c>
      <c r="AC47" s="707" t="str">
        <f>+IFERROR(VLOOKUP($A47,'[4]SEGUIMIENTO CONTRATOS 2018'!$A:$AJ,24,0)," ")</f>
        <v xml:space="preserve"> </v>
      </c>
      <c r="AD47" s="789" t="str">
        <f>+IFERROR(VLOOKUP($A47,'[4]SEGUIMIENTO CONTRATOS 2018'!$A:$AJ,25,0)," ")</f>
        <v xml:space="preserve"> </v>
      </c>
      <c r="AE47" s="789" t="str">
        <f>+IFERROR(VLOOKUP($A47,'[4]SEGUIMIENTO CONTRATOS 2018'!$A:$AJ,26,0)," ")</f>
        <v xml:space="preserve"> </v>
      </c>
      <c r="AF47" s="707" t="str">
        <f>+IFERROR(VLOOKUP($A47,'[4]SEGUIMIENTO CONTRATOS 2018'!$A:$AJ,30,0)," ")</f>
        <v xml:space="preserve"> </v>
      </c>
      <c r="AG47" s="707" t="str">
        <f>+IFERROR(VLOOKUP($A47,'[4]SEGUIMIENTO CONTRATOS 2018'!$A:$AJ,31,0)," ")</f>
        <v xml:space="preserve"> </v>
      </c>
    </row>
    <row r="48" spans="1:33" ht="93" x14ac:dyDescent="0.25">
      <c r="A48" s="717">
        <f t="shared" si="1"/>
        <v>27</v>
      </c>
      <c r="B48" s="700" t="s">
        <v>316</v>
      </c>
      <c r="C48" s="701">
        <v>56120000</v>
      </c>
      <c r="D48" s="702" t="s">
        <v>297</v>
      </c>
      <c r="E48" s="700" t="s">
        <v>48</v>
      </c>
      <c r="F48" s="700">
        <v>1</v>
      </c>
      <c r="G48" s="703" t="s">
        <v>81</v>
      </c>
      <c r="H48" s="704" t="s">
        <v>157</v>
      </c>
      <c r="I48" s="700" t="s">
        <v>55</v>
      </c>
      <c r="J48" s="700" t="s">
        <v>35</v>
      </c>
      <c r="K48" s="700" t="s">
        <v>296</v>
      </c>
      <c r="L48" s="705">
        <v>20000000</v>
      </c>
      <c r="M48" s="706">
        <v>20000000</v>
      </c>
      <c r="N48" s="700" t="s">
        <v>51</v>
      </c>
      <c r="O48" s="700" t="s">
        <v>36</v>
      </c>
      <c r="P48" s="700" t="s">
        <v>320</v>
      </c>
      <c r="Q48" s="80"/>
      <c r="R48" s="707" t="str">
        <f>+IFERROR(VLOOKUP($A48,'[4]SEGUIMIENTO CONTRATOS 2018'!$A:$AJ,2,0)," ")</f>
        <v xml:space="preserve"> </v>
      </c>
      <c r="S48" s="707" t="str">
        <f>+IFERROR(VLOOKUP($A48,'[4]SEGUIMIENTO CONTRATOS 2018'!$A:$AJ,3,0)," ")</f>
        <v xml:space="preserve"> </v>
      </c>
      <c r="T48" s="789" t="str">
        <f>+IFERROR(VLOOKUP($A48,'[4]SEGUIMIENTO CONTRATOS 2018'!$A:$AJ,8,0)," ")</f>
        <v xml:space="preserve"> </v>
      </c>
      <c r="U48" s="707" t="str">
        <f>+IFERROR(VLOOKUP($A48,'[4]SEGUIMIENTO CONTRATOS 2018'!$A:$AJ,9,0)," ")</f>
        <v xml:space="preserve"> </v>
      </c>
      <c r="V48" s="707" t="str">
        <f>+IFERROR(VLOOKUP($A48,'[4]SEGUIMIENTO CONTRATOS 2018'!$A:$AJ,11,0)," ")</f>
        <v xml:space="preserve"> </v>
      </c>
      <c r="W48" s="790">
        <f>+IFERROR(VLOOKUP($A48,'[4]SEGUIMIENTO CONTRATOS 2018'!$A:$AJ,13,0),0)</f>
        <v>0</v>
      </c>
      <c r="X48" s="707">
        <f>+IFERROR(VLOOKUP($A48,'[4]SEGUIMIENTO CONTRATOS 2018'!$A:$AJ,14,0),0)</f>
        <v>0</v>
      </c>
      <c r="Y48" s="790">
        <f>+IFERROR(VLOOKUP($A48,'[4]SEGUIMIENTO CONTRATOS 2018'!$A:$AJ,15,0),0)</f>
        <v>0</v>
      </c>
      <c r="Z48" s="790">
        <f>+IFERROR(VLOOKUP($A48,'[4]SEGUIMIENTO CONTRATOS 2018'!$A:$AJ,15,0),0)</f>
        <v>0</v>
      </c>
      <c r="AA48" s="707" t="str">
        <f>+IFERROR(VLOOKUP($A48,'[4]SEGUIMIENTO CONTRATOS 2018'!$A:$AJ,16,0)," ")</f>
        <v xml:space="preserve"> </v>
      </c>
      <c r="AB48" s="707" t="str">
        <f>+IFERROR(VLOOKUP($A48,'[4]SEGUIMIENTO CONTRATOS 2018'!$A:$AL,38,0)," ")</f>
        <v xml:space="preserve"> </v>
      </c>
      <c r="AC48" s="707" t="str">
        <f>+IFERROR(VLOOKUP($A48,'[4]SEGUIMIENTO CONTRATOS 2018'!$A:$AJ,24,0)," ")</f>
        <v xml:space="preserve"> </v>
      </c>
      <c r="AD48" s="789" t="str">
        <f>+IFERROR(VLOOKUP($A48,'[4]SEGUIMIENTO CONTRATOS 2018'!$A:$AJ,25,0)," ")</f>
        <v xml:space="preserve"> </v>
      </c>
      <c r="AE48" s="789" t="str">
        <f>+IFERROR(VLOOKUP($A48,'[4]SEGUIMIENTO CONTRATOS 2018'!$A:$AJ,26,0)," ")</f>
        <v xml:space="preserve"> </v>
      </c>
      <c r="AF48" s="707" t="str">
        <f>+IFERROR(VLOOKUP($A48,'[4]SEGUIMIENTO CONTRATOS 2018'!$A:$AJ,30,0)," ")</f>
        <v xml:space="preserve"> </v>
      </c>
      <c r="AG48" s="707" t="str">
        <f>+IFERROR(VLOOKUP($A48,'[4]SEGUIMIENTO CONTRATOS 2018'!$A:$AJ,31,0)," ")</f>
        <v xml:space="preserve"> </v>
      </c>
    </row>
    <row r="49" spans="1:33" ht="93" x14ac:dyDescent="0.25">
      <c r="A49" s="717">
        <f t="shared" si="1"/>
        <v>28</v>
      </c>
      <c r="B49" s="700" t="s">
        <v>316</v>
      </c>
      <c r="C49" s="701" t="s">
        <v>470</v>
      </c>
      <c r="D49" s="702" t="s">
        <v>471</v>
      </c>
      <c r="E49" s="700" t="s">
        <v>48</v>
      </c>
      <c r="F49" s="700">
        <v>1</v>
      </c>
      <c r="G49" s="703" t="s">
        <v>80</v>
      </c>
      <c r="H49" s="704" t="s">
        <v>250</v>
      </c>
      <c r="I49" s="700" t="s">
        <v>55</v>
      </c>
      <c r="J49" s="700" t="s">
        <v>35</v>
      </c>
      <c r="K49" s="700" t="s">
        <v>37</v>
      </c>
      <c r="L49" s="705">
        <v>5000000</v>
      </c>
      <c r="M49" s="706">
        <v>5000000</v>
      </c>
      <c r="N49" s="700" t="s">
        <v>51</v>
      </c>
      <c r="O49" s="700" t="s">
        <v>36</v>
      </c>
      <c r="P49" s="700" t="s">
        <v>320</v>
      </c>
      <c r="Q49" s="80"/>
      <c r="R49" s="707" t="str">
        <f>+IFERROR(VLOOKUP($A49,'[4]SEGUIMIENTO CONTRATOS 2018'!$A:$AJ,2,0)," ")</f>
        <v xml:space="preserve"> </v>
      </c>
      <c r="S49" s="707" t="str">
        <f>+IFERROR(VLOOKUP($A49,'[4]SEGUIMIENTO CONTRATOS 2018'!$A:$AJ,3,0)," ")</f>
        <v xml:space="preserve"> </v>
      </c>
      <c r="T49" s="789" t="str">
        <f>+IFERROR(VLOOKUP($A49,'[4]SEGUIMIENTO CONTRATOS 2018'!$A:$AJ,8,0)," ")</f>
        <v xml:space="preserve"> </v>
      </c>
      <c r="U49" s="707" t="str">
        <f>+IFERROR(VLOOKUP($A49,'[4]SEGUIMIENTO CONTRATOS 2018'!$A:$AJ,9,0)," ")</f>
        <v xml:space="preserve"> </v>
      </c>
      <c r="V49" s="707" t="str">
        <f>+IFERROR(VLOOKUP($A49,'[4]SEGUIMIENTO CONTRATOS 2018'!$A:$AJ,11,0)," ")</f>
        <v xml:space="preserve"> </v>
      </c>
      <c r="W49" s="790">
        <f>+IFERROR(VLOOKUP($A49,'[4]SEGUIMIENTO CONTRATOS 2018'!$A:$AJ,13,0),0)</f>
        <v>0</v>
      </c>
      <c r="X49" s="707">
        <f>+IFERROR(VLOOKUP($A49,'[4]SEGUIMIENTO CONTRATOS 2018'!$A:$AJ,14,0),0)</f>
        <v>0</v>
      </c>
      <c r="Y49" s="790">
        <f>+IFERROR(VLOOKUP($A49,'[4]SEGUIMIENTO CONTRATOS 2018'!$A:$AJ,15,0),0)</f>
        <v>0</v>
      </c>
      <c r="Z49" s="790">
        <f>+IFERROR(VLOOKUP($A49,'[4]SEGUIMIENTO CONTRATOS 2018'!$A:$AJ,15,0),0)</f>
        <v>0</v>
      </c>
      <c r="AA49" s="707" t="str">
        <f>+IFERROR(VLOOKUP($A49,'[4]SEGUIMIENTO CONTRATOS 2018'!$A:$AJ,16,0)," ")</f>
        <v xml:space="preserve"> </v>
      </c>
      <c r="AB49" s="707" t="str">
        <f>+IFERROR(VLOOKUP($A49,'[4]SEGUIMIENTO CONTRATOS 2018'!$A:$AL,38,0)," ")</f>
        <v xml:space="preserve"> </v>
      </c>
      <c r="AC49" s="707" t="str">
        <f>+IFERROR(VLOOKUP($A49,'[4]SEGUIMIENTO CONTRATOS 2018'!$A:$AJ,24,0)," ")</f>
        <v xml:space="preserve"> </v>
      </c>
      <c r="AD49" s="789" t="str">
        <f>+IFERROR(VLOOKUP($A49,'[4]SEGUIMIENTO CONTRATOS 2018'!$A:$AJ,25,0)," ")</f>
        <v xml:space="preserve"> </v>
      </c>
      <c r="AE49" s="789" t="str">
        <f>+IFERROR(VLOOKUP($A49,'[4]SEGUIMIENTO CONTRATOS 2018'!$A:$AJ,26,0)," ")</f>
        <v xml:space="preserve"> </v>
      </c>
      <c r="AF49" s="707" t="str">
        <f>+IFERROR(VLOOKUP($A49,'[4]SEGUIMIENTO CONTRATOS 2018'!$A:$AJ,30,0)," ")</f>
        <v xml:space="preserve"> </v>
      </c>
      <c r="AG49" s="707" t="str">
        <f>+IFERROR(VLOOKUP($A49,'[4]SEGUIMIENTO CONTRATOS 2018'!$A:$AJ,31,0)," ")</f>
        <v xml:space="preserve"> </v>
      </c>
    </row>
    <row r="50" spans="1:33" ht="116.25" x14ac:dyDescent="0.25">
      <c r="A50" s="717">
        <f t="shared" si="1"/>
        <v>29</v>
      </c>
      <c r="B50" s="700" t="s">
        <v>316</v>
      </c>
      <c r="C50" s="701" t="s">
        <v>317</v>
      </c>
      <c r="D50" s="702" t="s">
        <v>318</v>
      </c>
      <c r="E50" s="700" t="s">
        <v>48</v>
      </c>
      <c r="F50" s="700">
        <v>1</v>
      </c>
      <c r="G50" s="703" t="s">
        <v>79</v>
      </c>
      <c r="H50" s="704" t="s">
        <v>156</v>
      </c>
      <c r="I50" s="700" t="s">
        <v>53</v>
      </c>
      <c r="J50" s="700" t="s">
        <v>35</v>
      </c>
      <c r="K50" s="700" t="s">
        <v>41</v>
      </c>
      <c r="L50" s="705">
        <v>1500000</v>
      </c>
      <c r="M50" s="706">
        <v>1500000</v>
      </c>
      <c r="N50" s="700" t="s">
        <v>51</v>
      </c>
      <c r="O50" s="700" t="s">
        <v>36</v>
      </c>
      <c r="P50" s="700" t="s">
        <v>319</v>
      </c>
      <c r="Q50" s="80"/>
      <c r="R50" s="707" t="str">
        <f>+IFERROR(VLOOKUP($A50,'[4]SEGUIMIENTO CONTRATOS 2018'!$A:$AJ,2,0)," ")</f>
        <v xml:space="preserve"> </v>
      </c>
      <c r="S50" s="707" t="str">
        <f>+IFERROR(VLOOKUP($A50,'[4]SEGUIMIENTO CONTRATOS 2018'!$A:$AJ,3,0)," ")</f>
        <v xml:space="preserve"> </v>
      </c>
      <c r="T50" s="789" t="str">
        <f>+IFERROR(VLOOKUP($A50,'[4]SEGUIMIENTO CONTRATOS 2018'!$A:$AJ,8,0)," ")</f>
        <v xml:space="preserve"> </v>
      </c>
      <c r="U50" s="707" t="str">
        <f>+IFERROR(VLOOKUP($A50,'[4]SEGUIMIENTO CONTRATOS 2018'!$A:$AJ,9,0)," ")</f>
        <v xml:space="preserve"> </v>
      </c>
      <c r="V50" s="707" t="str">
        <f>+IFERROR(VLOOKUP($A50,'[4]SEGUIMIENTO CONTRATOS 2018'!$A:$AJ,11,0)," ")</f>
        <v xml:space="preserve"> </v>
      </c>
      <c r="W50" s="790">
        <f>+IFERROR(VLOOKUP($A50,'[4]SEGUIMIENTO CONTRATOS 2018'!$A:$AJ,13,0),0)</f>
        <v>0</v>
      </c>
      <c r="X50" s="707">
        <f>+IFERROR(VLOOKUP($A50,'[4]SEGUIMIENTO CONTRATOS 2018'!$A:$AJ,14,0),0)</f>
        <v>0</v>
      </c>
      <c r="Y50" s="790">
        <f>+IFERROR(VLOOKUP($A50,'[4]SEGUIMIENTO CONTRATOS 2018'!$A:$AJ,15,0),0)</f>
        <v>0</v>
      </c>
      <c r="Z50" s="790">
        <f>+IFERROR(VLOOKUP($A50,'[4]SEGUIMIENTO CONTRATOS 2018'!$A:$AJ,15,0),0)</f>
        <v>0</v>
      </c>
      <c r="AA50" s="707" t="str">
        <f>+IFERROR(VLOOKUP($A50,'[4]SEGUIMIENTO CONTRATOS 2018'!$A:$AJ,16,0)," ")</f>
        <v xml:space="preserve"> </v>
      </c>
      <c r="AB50" s="707" t="str">
        <f>+IFERROR(VLOOKUP($A50,'[4]SEGUIMIENTO CONTRATOS 2018'!$A:$AL,38,0)," ")</f>
        <v xml:space="preserve"> </v>
      </c>
      <c r="AC50" s="707" t="str">
        <f>+IFERROR(VLOOKUP($A50,'[4]SEGUIMIENTO CONTRATOS 2018'!$A:$AJ,24,0)," ")</f>
        <v xml:space="preserve"> </v>
      </c>
      <c r="AD50" s="789" t="str">
        <f>+IFERROR(VLOOKUP($A50,'[4]SEGUIMIENTO CONTRATOS 2018'!$A:$AJ,25,0)," ")</f>
        <v xml:space="preserve"> </v>
      </c>
      <c r="AE50" s="789" t="str">
        <f>+IFERROR(VLOOKUP($A50,'[4]SEGUIMIENTO CONTRATOS 2018'!$A:$AJ,26,0)," ")</f>
        <v xml:space="preserve"> </v>
      </c>
      <c r="AF50" s="707" t="str">
        <f>+IFERROR(VLOOKUP($A50,'[4]SEGUIMIENTO CONTRATOS 2018'!$A:$AJ,30,0)," ")</f>
        <v xml:space="preserve"> </v>
      </c>
      <c r="AG50" s="707" t="str">
        <f>+IFERROR(VLOOKUP($A50,'[4]SEGUIMIENTO CONTRATOS 2018'!$A:$AJ,31,0)," ")</f>
        <v xml:space="preserve"> </v>
      </c>
    </row>
    <row r="51" spans="1:33" ht="156" x14ac:dyDescent="0.25">
      <c r="A51" s="690">
        <f t="shared" si="1"/>
        <v>30</v>
      </c>
      <c r="B51" s="691" t="s">
        <v>316</v>
      </c>
      <c r="C51" s="692" t="s">
        <v>71</v>
      </c>
      <c r="D51" s="693" t="s">
        <v>227</v>
      </c>
      <c r="E51" s="691" t="s">
        <v>48</v>
      </c>
      <c r="F51" s="691">
        <v>1</v>
      </c>
      <c r="G51" s="694" t="s">
        <v>73</v>
      </c>
      <c r="H51" s="695" t="s">
        <v>472</v>
      </c>
      <c r="I51" s="691" t="s">
        <v>50</v>
      </c>
      <c r="J51" s="691" t="s">
        <v>35</v>
      </c>
      <c r="K51" s="691" t="s">
        <v>203</v>
      </c>
      <c r="L51" s="696">
        <v>35000000</v>
      </c>
      <c r="M51" s="697">
        <v>35000000</v>
      </c>
      <c r="N51" s="691" t="s">
        <v>51</v>
      </c>
      <c r="O51" s="691" t="s">
        <v>36</v>
      </c>
      <c r="P51" s="691" t="s">
        <v>320</v>
      </c>
      <c r="Q51" s="80"/>
      <c r="R51" s="698" t="str">
        <f>+IFERROR(VLOOKUP($A51,'[4]SEGUIMIENTO CONTRATOS 2018'!$A:$AJ,2,0)," ")</f>
        <v>145-2018</v>
      </c>
      <c r="S51" s="698" t="str">
        <f>+IFERROR(VLOOKUP($A51,'[4]SEGUIMIENTO CONTRATOS 2018'!$A:$AJ,3,0)," ")</f>
        <v>SERVICIO AEREO A TERRITORIOS NACIONALES S.A.</v>
      </c>
      <c r="T51" s="751">
        <f>+IFERROR(VLOOKUP($A51,'[4]SEGUIMIENTO CONTRATOS 2018'!$A:$AJ,8,0)," ")</f>
        <v>43126</v>
      </c>
      <c r="U51" s="698" t="str">
        <f>+IFERROR(VLOOKUP($A51,'[4]SEGUIMIENTO CONTRATOS 2018'!$A:$AJ,9,0)," ")</f>
        <v>Suministro de tiquetes aereos nacionales para el desplazamiento de los servidores y contratistas (en cuyos contratos esté pactada esta condición), del Departamento Administrativo de la Función Pública, de conformidad con las especificaciones de la ficha técnica del Acuerdo Marco de Precios.</v>
      </c>
      <c r="V51" s="698" t="str">
        <f>+IFERROR(VLOOKUP($A51,'[4]SEGUIMIENTO CONTRATOS 2018'!$A:$AJ,11,0)," ")</f>
        <v>CONTRATO DE SUMINISTRO</v>
      </c>
      <c r="W51" s="752">
        <f>+IFERROR(VLOOKUP($A51,'[4]SEGUIMIENTO CONTRATOS 2018'!$A:$AJ,13,0),0)</f>
        <v>35000000</v>
      </c>
      <c r="X51" s="698">
        <f>+IFERROR(VLOOKUP($A51,'[4]SEGUIMIENTO CONTRATOS 2018'!$A:$AJ,14,0),0)</f>
        <v>0</v>
      </c>
      <c r="Y51" s="752">
        <f>+IFERROR(VLOOKUP($A51,'[4]SEGUIMIENTO CONTRATOS 2018'!$A:$AJ,15,0),0)</f>
        <v>35000000</v>
      </c>
      <c r="Z51" s="752">
        <f>+IFERROR(VLOOKUP($A51,'[4]SEGUIMIENTO CONTRATOS 2018'!$A:$AJ,15,0),0)</f>
        <v>35000000</v>
      </c>
      <c r="AA51" s="698" t="str">
        <f>+IFERROR(VLOOKUP($A51,'[4]SEGUIMIENTO CONTRATOS 2018'!$A:$AJ,16,0)," ")</f>
        <v>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v>
      </c>
      <c r="AB51" s="698" t="str">
        <f>+IFERROR(VLOOKUP($A51,'[4]SEGUIMIENTO CONTRATOS 2018'!$A:$AL,38,0)," ")</f>
        <v xml:space="preserve">8118 </v>
      </c>
      <c r="AC51" s="698" t="str">
        <f>+IFERROR(VLOOKUP($A51,'[4]SEGUIMIENTO CONTRATOS 2018'!$A:$AJ,24,0)," ")</f>
        <v>Hasta el veintiocho (28) de diciembre de 2018, de conformidad con lo estipulado por el Acuerdo Marco de Precios de Colombia Compra Eficiente.</v>
      </c>
      <c r="AD51" s="751">
        <f>+IFERROR(VLOOKUP($A51,'[4]SEGUIMIENTO CONTRATOS 2018'!$A:$AJ,25,0)," ")</f>
        <v>43126</v>
      </c>
      <c r="AE51" s="751">
        <f>+IFERROR(VLOOKUP($A51,'[4]SEGUIMIENTO CONTRATOS 2018'!$A:$AJ,26,0)," ")</f>
        <v>43462</v>
      </c>
      <c r="AF51" s="698" t="str">
        <f>+IFERROR(VLOOKUP($A51,'[4]SEGUIMIENTO CONTRATOS 2018'!$A:$AJ,30,0)," ")</f>
        <v>JULIAN MAURICIO MARTINEZ ALVARADO</v>
      </c>
      <c r="AG51" s="698" t="str">
        <f>+IFERROR(VLOOKUP($A51,'[4]SEGUIMIENTO CONTRATOS 2018'!$A:$AJ,31,0)," ")</f>
        <v xml:space="preserve">GRUPO DE GESTION ADMINISTRATIVA </v>
      </c>
    </row>
    <row r="52" spans="1:33" ht="136.5" x14ac:dyDescent="0.25">
      <c r="A52" s="690">
        <f t="shared" si="1"/>
        <v>31</v>
      </c>
      <c r="B52" s="691" t="s">
        <v>265</v>
      </c>
      <c r="C52" s="692">
        <v>80101706</v>
      </c>
      <c r="D52" s="693" t="s">
        <v>503</v>
      </c>
      <c r="E52" s="691" t="s">
        <v>48</v>
      </c>
      <c r="F52" s="691">
        <v>1</v>
      </c>
      <c r="G52" s="694" t="s">
        <v>73</v>
      </c>
      <c r="H52" s="695">
        <v>5</v>
      </c>
      <c r="I52" s="691" t="s">
        <v>61</v>
      </c>
      <c r="J52" s="691" t="s">
        <v>66</v>
      </c>
      <c r="K52" s="691" t="s">
        <v>475</v>
      </c>
      <c r="L52" s="696">
        <v>22500000</v>
      </c>
      <c r="M52" s="697">
        <v>22500000</v>
      </c>
      <c r="N52" s="691" t="s">
        <v>51</v>
      </c>
      <c r="O52" s="691" t="s">
        <v>36</v>
      </c>
      <c r="P52" s="691" t="s">
        <v>504</v>
      </c>
      <c r="Q52" s="80"/>
      <c r="R52" s="698" t="str">
        <f>+IFERROR(VLOOKUP($A52,'[4]SEGUIMIENTO CONTRATOS 2018'!$A:$AJ,2,0)," ")</f>
        <v>140-2018</v>
      </c>
      <c r="S52" s="698" t="str">
        <f>+IFERROR(VLOOKUP($A52,'[4]SEGUIMIENTO CONTRATOS 2018'!$A:$AJ,3,0)," ")</f>
        <v>CATALINA MENDIETA SUAREZ</v>
      </c>
      <c r="T52" s="751">
        <f>+IFERROR(VLOOKUP($A52,'[4]SEGUIMIENTO CONTRATOS 2018'!$A:$AJ,8,0)," ")</f>
        <v>43125</v>
      </c>
      <c r="U52" s="698" t="str">
        <f>+IFERROR(VLOOKUP($A52,'[4]SEGUIMIENTO CONTRATOS 2018'!$A:$AJ,9,0)," ")</f>
        <v>Prestar servicios de apoyo a la gestión en la Dirección General de Función Pública, en la articulación y comunicación permanente al interior de la Entidad, para el seguimiento a las metas institucionales, y con las entidades públicas, receptoras de los lineamientos y políticas que dicta Función Pública.</v>
      </c>
      <c r="V52" s="698" t="str">
        <f>+IFERROR(VLOOKUP($A52,'[4]SEGUIMIENTO CONTRATOS 2018'!$A:$AJ,11,0)," ")</f>
        <v>PRESTACION DE SERVICIOS DE APOYO A LA GESTION</v>
      </c>
      <c r="W52" s="752">
        <f>+IFERROR(VLOOKUP($A52,'[4]SEGUIMIENTO CONTRATOS 2018'!$A:$AJ,13,0),0)</f>
        <v>16000000</v>
      </c>
      <c r="X52" s="698">
        <f>+IFERROR(VLOOKUP($A52,'[4]SEGUIMIENTO CONTRATOS 2018'!$A:$AJ,14,0),0)</f>
        <v>0</v>
      </c>
      <c r="Y52" s="752">
        <f>+IFERROR(VLOOKUP($A52,'[4]SEGUIMIENTO CONTRATOS 2018'!$A:$AJ,15,0),0)</f>
        <v>16000000</v>
      </c>
      <c r="Z52" s="752">
        <f>+IFERROR(VLOOKUP($A52,'[4]SEGUIMIENTO CONTRATOS 2018'!$A:$AJ,15,0),0)</f>
        <v>16000000</v>
      </c>
      <c r="AA52" s="698" t="str">
        <f>+IFERROR(VLOOKUP($A52,'[4]SEGUIMIENTO CONTRATOS 2018'!$A:$AJ,16,0)," ")</f>
        <v>Ocho (8) mensualidades vencidas, cada una por valor de DOS MILLONES DE PESOS ($2.000.000) M/CTE.</v>
      </c>
      <c r="AB52" s="698" t="str">
        <f>+IFERROR(VLOOKUP($A52,'[4]SEGUIMIENTO CONTRATOS 2018'!$A:$AL,38,0)," ")</f>
        <v>18018</v>
      </c>
      <c r="AC52" s="698" t="str">
        <f>+IFERROR(VLOOKUP($A52,'[4]SEGUIMIENTO CONTRATOS 2018'!$A:$AJ,24,0)," ")</f>
        <v>Ocho (8) meses, contado a partir del perfeccionamiento del mismo y registro presupuestal.</v>
      </c>
      <c r="AD52" s="751">
        <f>+IFERROR(VLOOKUP($A52,'[4]SEGUIMIENTO CONTRATOS 2018'!$A:$AJ,25,0)," ")</f>
        <v>43125</v>
      </c>
      <c r="AE52" s="751">
        <f>+IFERROR(VLOOKUP($A52,'[4]SEGUIMIENTO CONTRATOS 2018'!$A:$AJ,26,0)," ")</f>
        <v>43367</v>
      </c>
      <c r="AF52" s="698" t="str">
        <f>+IFERROR(VLOOKUP($A52,'[4]SEGUIMIENTO CONTRATOS 2018'!$A:$AJ,30,0)," ")</f>
        <v xml:space="preserve">SANTIAGO ARANGO CORRALES </v>
      </c>
      <c r="AG52" s="698" t="str">
        <f>+IFERROR(VLOOKUP($A52,'[4]SEGUIMIENTO CONTRATOS 2018'!$A:$AJ,31,0)," ")</f>
        <v>DIRECCION GENERAL</v>
      </c>
    </row>
    <row r="53" spans="1:33" ht="111" customHeight="1" x14ac:dyDescent="0.25">
      <c r="A53" s="717">
        <f>SUM(A52+1)</f>
        <v>32</v>
      </c>
      <c r="B53" s="700" t="s">
        <v>476</v>
      </c>
      <c r="C53" s="701" t="s">
        <v>252</v>
      </c>
      <c r="D53" s="702" t="s">
        <v>251</v>
      </c>
      <c r="E53" s="700" t="s">
        <v>48</v>
      </c>
      <c r="F53" s="700">
        <v>1</v>
      </c>
      <c r="G53" s="703" t="s">
        <v>80</v>
      </c>
      <c r="H53" s="704" t="s">
        <v>194</v>
      </c>
      <c r="I53" s="700" t="s">
        <v>55</v>
      </c>
      <c r="J53" s="700" t="s">
        <v>35</v>
      </c>
      <c r="K53" s="700" t="s">
        <v>161</v>
      </c>
      <c r="L53" s="705">
        <v>10000000</v>
      </c>
      <c r="M53" s="706">
        <v>10000000</v>
      </c>
      <c r="N53" s="700" t="s">
        <v>51</v>
      </c>
      <c r="O53" s="700" t="s">
        <v>36</v>
      </c>
      <c r="P53" s="700" t="s">
        <v>477</v>
      </c>
      <c r="Q53" s="80"/>
      <c r="R53" s="707"/>
      <c r="S53" s="707"/>
      <c r="T53" s="789"/>
      <c r="U53" s="707"/>
      <c r="V53" s="707"/>
      <c r="W53" s="790"/>
      <c r="X53" s="707"/>
      <c r="Y53" s="790"/>
      <c r="Z53" s="790"/>
      <c r="AA53" s="707"/>
      <c r="AB53" s="707"/>
      <c r="AC53" s="707"/>
      <c r="AD53" s="789"/>
      <c r="AE53" s="789"/>
      <c r="AF53" s="707"/>
      <c r="AG53" s="707"/>
    </row>
    <row r="54" spans="1:33" ht="139.5" x14ac:dyDescent="0.25">
      <c r="A54" s="717">
        <f t="shared" si="1"/>
        <v>33</v>
      </c>
      <c r="B54" s="700" t="s">
        <v>476</v>
      </c>
      <c r="C54" s="701">
        <v>78102200</v>
      </c>
      <c r="D54" s="702" t="s">
        <v>196</v>
      </c>
      <c r="E54" s="700" t="s">
        <v>48</v>
      </c>
      <c r="F54" s="700">
        <v>1</v>
      </c>
      <c r="G54" s="703" t="s">
        <v>77</v>
      </c>
      <c r="H54" s="704">
        <v>11.5</v>
      </c>
      <c r="I54" s="700" t="s">
        <v>61</v>
      </c>
      <c r="J54" s="700" t="s">
        <v>35</v>
      </c>
      <c r="K54" s="700" t="s">
        <v>58</v>
      </c>
      <c r="L54" s="706">
        <v>129202500</v>
      </c>
      <c r="M54" s="706">
        <v>10500000</v>
      </c>
      <c r="N54" s="700" t="s">
        <v>49</v>
      </c>
      <c r="O54" s="700" t="s">
        <v>447</v>
      </c>
      <c r="P54" s="700" t="s">
        <v>477</v>
      </c>
      <c r="Q54" s="80"/>
      <c r="R54" s="707" t="str">
        <f>+IFERROR(VLOOKUP($A54,'[4]SEGUIMIENTO CONTRATOS 2018'!$A:$AJ,2,0)," ")</f>
        <v xml:space="preserve"> </v>
      </c>
      <c r="S54" s="707" t="str">
        <f>+IFERROR(VLOOKUP($A54,'[4]SEGUIMIENTO CONTRATOS 2018'!$A:$AJ,3,0)," ")</f>
        <v xml:space="preserve"> </v>
      </c>
      <c r="T54" s="789" t="str">
        <f>+IFERROR(VLOOKUP($A54,'[4]SEGUIMIENTO CONTRATOS 2018'!$A:$AJ,8,0)," ")</f>
        <v xml:space="preserve"> </v>
      </c>
      <c r="U54" s="707" t="str">
        <f>+IFERROR(VLOOKUP($A54,'[4]SEGUIMIENTO CONTRATOS 2018'!$A:$AJ,9,0)," ")</f>
        <v xml:space="preserve"> </v>
      </c>
      <c r="V54" s="707" t="str">
        <f>+IFERROR(VLOOKUP($A54,'[4]SEGUIMIENTO CONTRATOS 2018'!$A:$AJ,11,0)," ")</f>
        <v xml:space="preserve"> </v>
      </c>
      <c r="W54" s="790">
        <f>+IFERROR(VLOOKUP($A54,'[4]SEGUIMIENTO CONTRATOS 2018'!$A:$AJ,13,0),0)</f>
        <v>0</v>
      </c>
      <c r="X54" s="707">
        <f>+IFERROR(VLOOKUP($A54,'[4]SEGUIMIENTO CONTRATOS 2018'!$A:$AJ,14,0),0)</f>
        <v>0</v>
      </c>
      <c r="Y54" s="790">
        <f>+IFERROR(VLOOKUP($A54,'[4]SEGUIMIENTO CONTRATOS 2018'!$A:$AJ,15,0),0)</f>
        <v>0</v>
      </c>
      <c r="Z54" s="790">
        <f>+IFERROR(VLOOKUP($A54,'[4]SEGUIMIENTO CONTRATOS 2018'!$A:$AJ,15,0),0)</f>
        <v>0</v>
      </c>
      <c r="AA54" s="707" t="str">
        <f>+IFERROR(VLOOKUP($A54,'[4]SEGUIMIENTO CONTRATOS 2018'!$A:$AJ,16,0)," ")</f>
        <v xml:space="preserve"> </v>
      </c>
      <c r="AB54" s="707" t="str">
        <f>+IFERROR(VLOOKUP($A54,'[4]SEGUIMIENTO CONTRATOS 2018'!$A:$AL,38,0)," ")</f>
        <v xml:space="preserve"> </v>
      </c>
      <c r="AC54" s="707" t="str">
        <f>+IFERROR(VLOOKUP($A54,'[4]SEGUIMIENTO CONTRATOS 2018'!$A:$AJ,24,0)," ")</f>
        <v xml:space="preserve"> </v>
      </c>
      <c r="AD54" s="789" t="str">
        <f>+IFERROR(VLOOKUP($A54,'[4]SEGUIMIENTO CONTRATOS 2018'!$A:$AJ,25,0)," ")</f>
        <v xml:space="preserve"> </v>
      </c>
      <c r="AE54" s="789" t="str">
        <f>+IFERROR(VLOOKUP($A54,'[4]SEGUIMIENTO CONTRATOS 2018'!$A:$AJ,26,0)," ")</f>
        <v xml:space="preserve"> </v>
      </c>
      <c r="AF54" s="707" t="str">
        <f>+IFERROR(VLOOKUP($A54,'[4]SEGUIMIENTO CONTRATOS 2018'!$A:$AJ,30,0)," ")</f>
        <v xml:space="preserve"> </v>
      </c>
      <c r="AG54" s="707" t="str">
        <f>+IFERROR(VLOOKUP($A54,'[4]SEGUIMIENTO CONTRATOS 2018'!$A:$AJ,31,0)," ")</f>
        <v xml:space="preserve"> </v>
      </c>
    </row>
    <row r="55" spans="1:33" ht="145.9" customHeight="1" x14ac:dyDescent="0.25">
      <c r="A55" s="717">
        <f t="shared" si="1"/>
        <v>34</v>
      </c>
      <c r="B55" s="700" t="s">
        <v>316</v>
      </c>
      <c r="C55" s="701" t="s">
        <v>310</v>
      </c>
      <c r="D55" s="702" t="s">
        <v>309</v>
      </c>
      <c r="E55" s="700" t="s">
        <v>48</v>
      </c>
      <c r="F55" s="700">
        <v>1</v>
      </c>
      <c r="G55" s="703" t="s">
        <v>75</v>
      </c>
      <c r="H55" s="704" t="s">
        <v>232</v>
      </c>
      <c r="I55" s="700" t="s">
        <v>55</v>
      </c>
      <c r="J55" s="700" t="s">
        <v>35</v>
      </c>
      <c r="K55" s="700" t="s">
        <v>46</v>
      </c>
      <c r="L55" s="706">
        <v>20000000</v>
      </c>
      <c r="M55" s="706">
        <v>20000000</v>
      </c>
      <c r="N55" s="700" t="s">
        <v>51</v>
      </c>
      <c r="O55" s="700" t="s">
        <v>36</v>
      </c>
      <c r="P55" s="700" t="s">
        <v>320</v>
      </c>
      <c r="Q55" s="80"/>
      <c r="R55" s="707" t="str">
        <f>+IFERROR(VLOOKUP($A55,'[4]SEGUIMIENTO CONTRATOS 2018'!$A:$AJ,2,0)," ")</f>
        <v xml:space="preserve"> </v>
      </c>
      <c r="S55" s="707" t="str">
        <f>+IFERROR(VLOOKUP($A55,'[4]SEGUIMIENTO CONTRATOS 2018'!$A:$AJ,3,0)," ")</f>
        <v xml:space="preserve"> </v>
      </c>
      <c r="T55" s="789" t="str">
        <f>+IFERROR(VLOOKUP($A55,'[4]SEGUIMIENTO CONTRATOS 2018'!$A:$AJ,8,0)," ")</f>
        <v xml:space="preserve"> </v>
      </c>
      <c r="U55" s="707" t="str">
        <f>+IFERROR(VLOOKUP($A55,'[4]SEGUIMIENTO CONTRATOS 2018'!$A:$AJ,9,0)," ")</f>
        <v xml:space="preserve"> </v>
      </c>
      <c r="V55" s="707" t="str">
        <f>+IFERROR(VLOOKUP($A55,'[4]SEGUIMIENTO CONTRATOS 2018'!$A:$AJ,11,0)," ")</f>
        <v xml:space="preserve"> </v>
      </c>
      <c r="W55" s="790">
        <f>+IFERROR(VLOOKUP($A55,'[4]SEGUIMIENTO CONTRATOS 2018'!$A:$AJ,13,0),0)</f>
        <v>0</v>
      </c>
      <c r="X55" s="707">
        <f>+IFERROR(VLOOKUP($A55,'[4]SEGUIMIENTO CONTRATOS 2018'!$A:$AJ,14,0),0)</f>
        <v>0</v>
      </c>
      <c r="Y55" s="790">
        <f>+IFERROR(VLOOKUP($A55,'[4]SEGUIMIENTO CONTRATOS 2018'!$A:$AJ,15,0),0)</f>
        <v>0</v>
      </c>
      <c r="Z55" s="790">
        <f>+IFERROR(VLOOKUP($A55,'[4]SEGUIMIENTO CONTRATOS 2018'!$A:$AJ,15,0),0)</f>
        <v>0</v>
      </c>
      <c r="AA55" s="707" t="str">
        <f>+IFERROR(VLOOKUP($A55,'[4]SEGUIMIENTO CONTRATOS 2018'!$A:$AJ,16,0)," ")</f>
        <v xml:space="preserve"> </v>
      </c>
      <c r="AB55" s="707" t="str">
        <f>+IFERROR(VLOOKUP($A55,'[4]SEGUIMIENTO CONTRATOS 2018'!$A:$AL,38,0)," ")</f>
        <v xml:space="preserve"> </v>
      </c>
      <c r="AC55" s="707" t="str">
        <f>+IFERROR(VLOOKUP($A55,'[4]SEGUIMIENTO CONTRATOS 2018'!$A:$AJ,24,0)," ")</f>
        <v xml:space="preserve"> </v>
      </c>
      <c r="AD55" s="789" t="str">
        <f>+IFERROR(VLOOKUP($A55,'[4]SEGUIMIENTO CONTRATOS 2018'!$A:$AJ,25,0)," ")</f>
        <v xml:space="preserve"> </v>
      </c>
      <c r="AE55" s="789" t="str">
        <f>+IFERROR(VLOOKUP($A55,'[4]SEGUIMIENTO CONTRATOS 2018'!$A:$AJ,26,0)," ")</f>
        <v xml:space="preserve"> </v>
      </c>
      <c r="AF55" s="707" t="str">
        <f>+IFERROR(VLOOKUP($A55,'[4]SEGUIMIENTO CONTRATOS 2018'!$A:$AJ,30,0)," ")</f>
        <v xml:space="preserve"> </v>
      </c>
      <c r="AG55" s="707" t="str">
        <f>+IFERROR(VLOOKUP($A55,'[4]SEGUIMIENTO CONTRATOS 2018'!$A:$AJ,31,0)," ")</f>
        <v xml:space="preserve"> </v>
      </c>
    </row>
    <row r="56" spans="1:33" ht="93" x14ac:dyDescent="0.25">
      <c r="A56" s="717">
        <f t="shared" si="1"/>
        <v>35</v>
      </c>
      <c r="B56" s="700" t="s">
        <v>478</v>
      </c>
      <c r="C56" s="701">
        <v>41110000</v>
      </c>
      <c r="D56" s="702" t="s">
        <v>479</v>
      </c>
      <c r="E56" s="700" t="s">
        <v>48</v>
      </c>
      <c r="F56" s="700">
        <v>1</v>
      </c>
      <c r="G56" s="703" t="s">
        <v>75</v>
      </c>
      <c r="H56" s="704" t="s">
        <v>156</v>
      </c>
      <c r="I56" s="700" t="s">
        <v>55</v>
      </c>
      <c r="J56" s="700" t="s">
        <v>35</v>
      </c>
      <c r="K56" s="700" t="s">
        <v>41</v>
      </c>
      <c r="L56" s="705">
        <v>382336</v>
      </c>
      <c r="M56" s="706">
        <v>382336</v>
      </c>
      <c r="N56" s="700" t="s">
        <v>51</v>
      </c>
      <c r="O56" s="700" t="s">
        <v>36</v>
      </c>
      <c r="P56" s="700" t="s">
        <v>477</v>
      </c>
      <c r="Q56" s="80"/>
      <c r="R56" s="707" t="str">
        <f>+IFERROR(VLOOKUP($A56,'[4]SEGUIMIENTO CONTRATOS 2018'!$A:$AJ,2,0)," ")</f>
        <v xml:space="preserve"> </v>
      </c>
      <c r="S56" s="707" t="str">
        <f>+IFERROR(VLOOKUP($A56,'[4]SEGUIMIENTO CONTRATOS 2018'!$A:$AJ,3,0)," ")</f>
        <v xml:space="preserve"> </v>
      </c>
      <c r="T56" s="789" t="str">
        <f>+IFERROR(VLOOKUP($A56,'[4]SEGUIMIENTO CONTRATOS 2018'!$A:$AJ,8,0)," ")</f>
        <v xml:space="preserve"> </v>
      </c>
      <c r="U56" s="707" t="str">
        <f>+IFERROR(VLOOKUP($A56,'[4]SEGUIMIENTO CONTRATOS 2018'!$A:$AJ,9,0)," ")</f>
        <v xml:space="preserve"> </v>
      </c>
      <c r="V56" s="707" t="str">
        <f>+IFERROR(VLOOKUP($A56,'[4]SEGUIMIENTO CONTRATOS 2018'!$A:$AJ,11,0)," ")</f>
        <v xml:space="preserve"> </v>
      </c>
      <c r="W56" s="790">
        <f>+IFERROR(VLOOKUP($A56,'[4]SEGUIMIENTO CONTRATOS 2018'!$A:$AJ,13,0),0)</f>
        <v>0</v>
      </c>
      <c r="X56" s="707">
        <f>+IFERROR(VLOOKUP($A56,'[4]SEGUIMIENTO CONTRATOS 2018'!$A:$AJ,14,0),0)</f>
        <v>0</v>
      </c>
      <c r="Y56" s="790">
        <f>+IFERROR(VLOOKUP($A56,'[4]SEGUIMIENTO CONTRATOS 2018'!$A:$AJ,15,0),0)</f>
        <v>0</v>
      </c>
      <c r="Z56" s="790">
        <f>+IFERROR(VLOOKUP($A56,'[4]SEGUIMIENTO CONTRATOS 2018'!$A:$AJ,15,0),0)</f>
        <v>0</v>
      </c>
      <c r="AA56" s="707" t="str">
        <f>+IFERROR(VLOOKUP($A56,'[4]SEGUIMIENTO CONTRATOS 2018'!$A:$AJ,16,0)," ")</f>
        <v xml:space="preserve"> </v>
      </c>
      <c r="AB56" s="707" t="str">
        <f>+IFERROR(VLOOKUP($A56,'[4]SEGUIMIENTO CONTRATOS 2018'!$A:$AL,38,0)," ")</f>
        <v xml:space="preserve"> </v>
      </c>
      <c r="AC56" s="707" t="str">
        <f>+IFERROR(VLOOKUP($A56,'[4]SEGUIMIENTO CONTRATOS 2018'!$A:$AJ,24,0)," ")</f>
        <v xml:space="preserve"> </v>
      </c>
      <c r="AD56" s="789" t="str">
        <f>+IFERROR(VLOOKUP($A56,'[4]SEGUIMIENTO CONTRATOS 2018'!$A:$AJ,25,0)," ")</f>
        <v xml:space="preserve"> </v>
      </c>
      <c r="AE56" s="789" t="str">
        <f>+IFERROR(VLOOKUP($A56,'[4]SEGUIMIENTO CONTRATOS 2018'!$A:$AJ,26,0)," ")</f>
        <v xml:space="preserve"> </v>
      </c>
      <c r="AF56" s="707" t="str">
        <f>+IFERROR(VLOOKUP($A56,'[4]SEGUIMIENTO CONTRATOS 2018'!$A:$AJ,30,0)," ")</f>
        <v xml:space="preserve"> </v>
      </c>
      <c r="AG56" s="707" t="str">
        <f>+IFERROR(VLOOKUP($A56,'[4]SEGUIMIENTO CONTRATOS 2018'!$A:$AJ,31,0)," ")</f>
        <v xml:space="preserve"> </v>
      </c>
    </row>
    <row r="57" spans="1:33" ht="93" x14ac:dyDescent="0.25">
      <c r="A57" s="717">
        <f t="shared" si="1"/>
        <v>36</v>
      </c>
      <c r="B57" s="700" t="s">
        <v>478</v>
      </c>
      <c r="C57" s="701">
        <v>44103124</v>
      </c>
      <c r="D57" s="702" t="s">
        <v>480</v>
      </c>
      <c r="E57" s="700" t="s">
        <v>48</v>
      </c>
      <c r="F57" s="700">
        <v>1</v>
      </c>
      <c r="G57" s="703" t="s">
        <v>75</v>
      </c>
      <c r="H57" s="704" t="s">
        <v>156</v>
      </c>
      <c r="I57" s="700" t="s">
        <v>55</v>
      </c>
      <c r="J57" s="700" t="s">
        <v>35</v>
      </c>
      <c r="K57" s="700" t="s">
        <v>41</v>
      </c>
      <c r="L57" s="705">
        <v>450000</v>
      </c>
      <c r="M57" s="706">
        <v>450000</v>
      </c>
      <c r="N57" s="700" t="s">
        <v>51</v>
      </c>
      <c r="O57" s="700" t="s">
        <v>36</v>
      </c>
      <c r="P57" s="700" t="s">
        <v>477</v>
      </c>
      <c r="Q57" s="80"/>
      <c r="R57" s="707" t="str">
        <f>+IFERROR(VLOOKUP($A57,'[4]SEGUIMIENTO CONTRATOS 2018'!$A:$AJ,2,0)," ")</f>
        <v xml:space="preserve"> </v>
      </c>
      <c r="S57" s="707" t="str">
        <f>+IFERROR(VLOOKUP($A57,'[4]SEGUIMIENTO CONTRATOS 2018'!$A:$AJ,3,0)," ")</f>
        <v xml:space="preserve"> </v>
      </c>
      <c r="T57" s="789" t="str">
        <f>+IFERROR(VLOOKUP($A57,'[4]SEGUIMIENTO CONTRATOS 2018'!$A:$AJ,8,0)," ")</f>
        <v xml:space="preserve"> </v>
      </c>
      <c r="U57" s="707" t="str">
        <f>+IFERROR(VLOOKUP($A57,'[4]SEGUIMIENTO CONTRATOS 2018'!$A:$AJ,9,0)," ")</f>
        <v xml:space="preserve"> </v>
      </c>
      <c r="V57" s="707" t="str">
        <f>+IFERROR(VLOOKUP($A57,'[4]SEGUIMIENTO CONTRATOS 2018'!$A:$AJ,11,0)," ")</f>
        <v xml:space="preserve"> </v>
      </c>
      <c r="W57" s="790">
        <f>+IFERROR(VLOOKUP($A57,'[4]SEGUIMIENTO CONTRATOS 2018'!$A:$AJ,13,0),0)</f>
        <v>0</v>
      </c>
      <c r="X57" s="707">
        <f>+IFERROR(VLOOKUP($A57,'[4]SEGUIMIENTO CONTRATOS 2018'!$A:$AJ,14,0),0)</f>
        <v>0</v>
      </c>
      <c r="Y57" s="790">
        <f>+IFERROR(VLOOKUP($A57,'[4]SEGUIMIENTO CONTRATOS 2018'!$A:$AJ,15,0),0)</f>
        <v>0</v>
      </c>
      <c r="Z57" s="790">
        <f>+IFERROR(VLOOKUP($A57,'[4]SEGUIMIENTO CONTRATOS 2018'!$A:$AJ,15,0),0)</f>
        <v>0</v>
      </c>
      <c r="AA57" s="707" t="str">
        <f>+IFERROR(VLOOKUP($A57,'[4]SEGUIMIENTO CONTRATOS 2018'!$A:$AJ,16,0)," ")</f>
        <v xml:space="preserve"> </v>
      </c>
      <c r="AB57" s="707" t="str">
        <f>+IFERROR(VLOOKUP($A57,'[4]SEGUIMIENTO CONTRATOS 2018'!$A:$AL,38,0)," ")</f>
        <v xml:space="preserve"> </v>
      </c>
      <c r="AC57" s="707" t="str">
        <f>+IFERROR(VLOOKUP($A57,'[4]SEGUIMIENTO CONTRATOS 2018'!$A:$AJ,24,0)," ")</f>
        <v xml:space="preserve"> </v>
      </c>
      <c r="AD57" s="789" t="str">
        <f>+IFERROR(VLOOKUP($A57,'[4]SEGUIMIENTO CONTRATOS 2018'!$A:$AJ,25,0)," ")</f>
        <v xml:space="preserve"> </v>
      </c>
      <c r="AE57" s="789" t="str">
        <f>+IFERROR(VLOOKUP($A57,'[4]SEGUIMIENTO CONTRATOS 2018'!$A:$AJ,26,0)," ")</f>
        <v xml:space="preserve"> </v>
      </c>
      <c r="AF57" s="707" t="str">
        <f>+IFERROR(VLOOKUP($A57,'[4]SEGUIMIENTO CONTRATOS 2018'!$A:$AJ,30,0)," ")</f>
        <v xml:space="preserve"> </v>
      </c>
      <c r="AG57" s="707" t="str">
        <f>+IFERROR(VLOOKUP($A57,'[4]SEGUIMIENTO CONTRATOS 2018'!$A:$AJ,31,0)," ")</f>
        <v xml:space="preserve"> </v>
      </c>
    </row>
    <row r="58" spans="1:33" ht="93" x14ac:dyDescent="0.25">
      <c r="A58" s="717">
        <f t="shared" si="1"/>
        <v>37</v>
      </c>
      <c r="B58" s="700" t="s">
        <v>478</v>
      </c>
      <c r="C58" s="701">
        <v>44121634</v>
      </c>
      <c r="D58" s="702" t="s">
        <v>481</v>
      </c>
      <c r="E58" s="700" t="s">
        <v>48</v>
      </c>
      <c r="F58" s="700">
        <v>1</v>
      </c>
      <c r="G58" s="703" t="s">
        <v>75</v>
      </c>
      <c r="H58" s="704" t="s">
        <v>156</v>
      </c>
      <c r="I58" s="700" t="s">
        <v>55</v>
      </c>
      <c r="J58" s="700" t="s">
        <v>35</v>
      </c>
      <c r="K58" s="700" t="s">
        <v>41</v>
      </c>
      <c r="L58" s="705">
        <v>300000</v>
      </c>
      <c r="M58" s="706">
        <v>300000</v>
      </c>
      <c r="N58" s="700" t="s">
        <v>51</v>
      </c>
      <c r="O58" s="700" t="s">
        <v>36</v>
      </c>
      <c r="P58" s="700" t="s">
        <v>477</v>
      </c>
      <c r="Q58" s="80"/>
      <c r="R58" s="707" t="str">
        <f>+IFERROR(VLOOKUP($A58,'[4]SEGUIMIENTO CONTRATOS 2018'!$A:$AJ,2,0)," ")</f>
        <v xml:space="preserve"> </v>
      </c>
      <c r="S58" s="707" t="str">
        <f>+IFERROR(VLOOKUP($A58,'[4]SEGUIMIENTO CONTRATOS 2018'!$A:$AJ,3,0)," ")</f>
        <v xml:space="preserve"> </v>
      </c>
      <c r="T58" s="789" t="str">
        <f>+IFERROR(VLOOKUP($A58,'[4]SEGUIMIENTO CONTRATOS 2018'!$A:$AJ,8,0)," ")</f>
        <v xml:space="preserve"> </v>
      </c>
      <c r="U58" s="707" t="str">
        <f>+IFERROR(VLOOKUP($A58,'[4]SEGUIMIENTO CONTRATOS 2018'!$A:$AJ,9,0)," ")</f>
        <v xml:space="preserve"> </v>
      </c>
      <c r="V58" s="707" t="str">
        <f>+IFERROR(VLOOKUP($A58,'[4]SEGUIMIENTO CONTRATOS 2018'!$A:$AJ,11,0)," ")</f>
        <v xml:space="preserve"> </v>
      </c>
      <c r="W58" s="790">
        <f>+IFERROR(VLOOKUP($A58,'[4]SEGUIMIENTO CONTRATOS 2018'!$A:$AJ,13,0),0)</f>
        <v>0</v>
      </c>
      <c r="X58" s="707">
        <f>+IFERROR(VLOOKUP($A58,'[4]SEGUIMIENTO CONTRATOS 2018'!$A:$AJ,14,0),0)</f>
        <v>0</v>
      </c>
      <c r="Y58" s="790">
        <f>+IFERROR(VLOOKUP($A58,'[4]SEGUIMIENTO CONTRATOS 2018'!$A:$AJ,15,0),0)</f>
        <v>0</v>
      </c>
      <c r="Z58" s="790">
        <f>+IFERROR(VLOOKUP($A58,'[4]SEGUIMIENTO CONTRATOS 2018'!$A:$AJ,15,0),0)</f>
        <v>0</v>
      </c>
      <c r="AA58" s="707" t="str">
        <f>+IFERROR(VLOOKUP($A58,'[4]SEGUIMIENTO CONTRATOS 2018'!$A:$AJ,16,0)," ")</f>
        <v xml:space="preserve"> </v>
      </c>
      <c r="AB58" s="707" t="str">
        <f>+IFERROR(VLOOKUP($A58,'[4]SEGUIMIENTO CONTRATOS 2018'!$A:$AL,38,0)," ")</f>
        <v xml:space="preserve"> </v>
      </c>
      <c r="AC58" s="707" t="str">
        <f>+IFERROR(VLOOKUP($A58,'[4]SEGUIMIENTO CONTRATOS 2018'!$A:$AJ,24,0)," ")</f>
        <v xml:space="preserve"> </v>
      </c>
      <c r="AD58" s="789" t="str">
        <f>+IFERROR(VLOOKUP($A58,'[4]SEGUIMIENTO CONTRATOS 2018'!$A:$AJ,25,0)," ")</f>
        <v xml:space="preserve"> </v>
      </c>
      <c r="AE58" s="789" t="str">
        <f>+IFERROR(VLOOKUP($A58,'[4]SEGUIMIENTO CONTRATOS 2018'!$A:$AJ,26,0)," ")</f>
        <v xml:space="preserve"> </v>
      </c>
      <c r="AF58" s="707" t="str">
        <f>+IFERROR(VLOOKUP($A58,'[4]SEGUIMIENTO CONTRATOS 2018'!$A:$AJ,30,0)," ")</f>
        <v xml:space="preserve"> </v>
      </c>
      <c r="AG58" s="707" t="str">
        <f>+IFERROR(VLOOKUP($A58,'[4]SEGUIMIENTO CONTRATOS 2018'!$A:$AJ,31,0)," ")</f>
        <v xml:space="preserve"> </v>
      </c>
    </row>
    <row r="59" spans="1:33" ht="93" x14ac:dyDescent="0.25">
      <c r="A59" s="717">
        <f t="shared" si="1"/>
        <v>38</v>
      </c>
      <c r="B59" s="700" t="s">
        <v>478</v>
      </c>
      <c r="C59" s="701">
        <v>44122003</v>
      </c>
      <c r="D59" s="702" t="s">
        <v>482</v>
      </c>
      <c r="E59" s="700" t="s">
        <v>48</v>
      </c>
      <c r="F59" s="700">
        <v>1</v>
      </c>
      <c r="G59" s="703" t="s">
        <v>75</v>
      </c>
      <c r="H59" s="704" t="s">
        <v>156</v>
      </c>
      <c r="I59" s="700" t="s">
        <v>53</v>
      </c>
      <c r="J59" s="700" t="s">
        <v>35</v>
      </c>
      <c r="K59" s="700" t="s">
        <v>41</v>
      </c>
      <c r="L59" s="705">
        <v>4800000</v>
      </c>
      <c r="M59" s="706">
        <v>4800000</v>
      </c>
      <c r="N59" s="700" t="s">
        <v>51</v>
      </c>
      <c r="O59" s="700" t="s">
        <v>36</v>
      </c>
      <c r="P59" s="700" t="s">
        <v>477</v>
      </c>
      <c r="Q59" s="80"/>
      <c r="R59" s="707" t="str">
        <f>+IFERROR(VLOOKUP($A59,'[4]SEGUIMIENTO CONTRATOS 2018'!$A:$AJ,2,0)," ")</f>
        <v xml:space="preserve"> </v>
      </c>
      <c r="S59" s="707" t="str">
        <f>+IFERROR(VLOOKUP($A59,'[4]SEGUIMIENTO CONTRATOS 2018'!$A:$AJ,3,0)," ")</f>
        <v xml:space="preserve"> </v>
      </c>
      <c r="T59" s="789" t="str">
        <f>+IFERROR(VLOOKUP($A59,'[4]SEGUIMIENTO CONTRATOS 2018'!$A:$AJ,8,0)," ")</f>
        <v xml:space="preserve"> </v>
      </c>
      <c r="U59" s="707" t="str">
        <f>+IFERROR(VLOOKUP($A59,'[4]SEGUIMIENTO CONTRATOS 2018'!$A:$AJ,9,0)," ")</f>
        <v xml:space="preserve"> </v>
      </c>
      <c r="V59" s="707" t="str">
        <f>+IFERROR(VLOOKUP($A59,'[4]SEGUIMIENTO CONTRATOS 2018'!$A:$AJ,11,0)," ")</f>
        <v xml:space="preserve"> </v>
      </c>
      <c r="W59" s="790">
        <f>+IFERROR(VLOOKUP($A59,'[4]SEGUIMIENTO CONTRATOS 2018'!$A:$AJ,13,0),0)</f>
        <v>0</v>
      </c>
      <c r="X59" s="707">
        <f>+IFERROR(VLOOKUP($A59,'[4]SEGUIMIENTO CONTRATOS 2018'!$A:$AJ,14,0),0)</f>
        <v>0</v>
      </c>
      <c r="Y59" s="790">
        <f>+IFERROR(VLOOKUP($A59,'[4]SEGUIMIENTO CONTRATOS 2018'!$A:$AJ,15,0),0)</f>
        <v>0</v>
      </c>
      <c r="Z59" s="790">
        <f>+IFERROR(VLOOKUP($A59,'[4]SEGUIMIENTO CONTRATOS 2018'!$A:$AJ,15,0),0)</f>
        <v>0</v>
      </c>
      <c r="AA59" s="707" t="str">
        <f>+IFERROR(VLOOKUP($A59,'[4]SEGUIMIENTO CONTRATOS 2018'!$A:$AJ,16,0)," ")</f>
        <v xml:space="preserve"> </v>
      </c>
      <c r="AB59" s="707" t="str">
        <f>+IFERROR(VLOOKUP($A59,'[4]SEGUIMIENTO CONTRATOS 2018'!$A:$AL,38,0)," ")</f>
        <v xml:space="preserve"> </v>
      </c>
      <c r="AC59" s="707" t="str">
        <f>+IFERROR(VLOOKUP($A59,'[4]SEGUIMIENTO CONTRATOS 2018'!$A:$AJ,24,0)," ")</f>
        <v xml:space="preserve"> </v>
      </c>
      <c r="AD59" s="789" t="str">
        <f>+IFERROR(VLOOKUP($A59,'[4]SEGUIMIENTO CONTRATOS 2018'!$A:$AJ,25,0)," ")</f>
        <v xml:space="preserve"> </v>
      </c>
      <c r="AE59" s="789" t="str">
        <f>+IFERROR(VLOOKUP($A59,'[4]SEGUIMIENTO CONTRATOS 2018'!$A:$AJ,26,0)," ")</f>
        <v xml:space="preserve"> </v>
      </c>
      <c r="AF59" s="707" t="str">
        <f>+IFERROR(VLOOKUP($A59,'[4]SEGUIMIENTO CONTRATOS 2018'!$A:$AJ,30,0)," ")</f>
        <v xml:space="preserve"> </v>
      </c>
      <c r="AG59" s="707" t="str">
        <f>+IFERROR(VLOOKUP($A59,'[4]SEGUIMIENTO CONTRATOS 2018'!$A:$AJ,31,0)," ")</f>
        <v xml:space="preserve"> </v>
      </c>
    </row>
    <row r="60" spans="1:33" ht="93" x14ac:dyDescent="0.25">
      <c r="A60" s="717">
        <f t="shared" si="1"/>
        <v>39</v>
      </c>
      <c r="B60" s="700" t="s">
        <v>478</v>
      </c>
      <c r="C60" s="701">
        <v>44111515</v>
      </c>
      <c r="D60" s="702" t="s">
        <v>483</v>
      </c>
      <c r="E60" s="700" t="s">
        <v>48</v>
      </c>
      <c r="F60" s="700">
        <v>1</v>
      </c>
      <c r="G60" s="703" t="s">
        <v>75</v>
      </c>
      <c r="H60" s="704" t="s">
        <v>156</v>
      </c>
      <c r="I60" s="700" t="s">
        <v>53</v>
      </c>
      <c r="J60" s="700" t="s">
        <v>35</v>
      </c>
      <c r="K60" s="700" t="s">
        <v>41</v>
      </c>
      <c r="L60" s="705">
        <v>1537500</v>
      </c>
      <c r="M60" s="706">
        <v>1537500</v>
      </c>
      <c r="N60" s="700" t="s">
        <v>51</v>
      </c>
      <c r="O60" s="700" t="s">
        <v>36</v>
      </c>
      <c r="P60" s="700" t="s">
        <v>477</v>
      </c>
      <c r="Q60" s="80"/>
      <c r="R60" s="707" t="str">
        <f>+IFERROR(VLOOKUP($A60,'[4]SEGUIMIENTO CONTRATOS 2018'!$A:$AJ,2,0)," ")</f>
        <v xml:space="preserve"> </v>
      </c>
      <c r="S60" s="707" t="str">
        <f>+IFERROR(VLOOKUP($A60,'[4]SEGUIMIENTO CONTRATOS 2018'!$A:$AJ,3,0)," ")</f>
        <v xml:space="preserve"> </v>
      </c>
      <c r="T60" s="789" t="str">
        <f>+IFERROR(VLOOKUP($A60,'[4]SEGUIMIENTO CONTRATOS 2018'!$A:$AJ,8,0)," ")</f>
        <v xml:space="preserve"> </v>
      </c>
      <c r="U60" s="707" t="str">
        <f>+IFERROR(VLOOKUP($A60,'[4]SEGUIMIENTO CONTRATOS 2018'!$A:$AJ,9,0)," ")</f>
        <v xml:space="preserve"> </v>
      </c>
      <c r="V60" s="707" t="str">
        <f>+IFERROR(VLOOKUP($A60,'[4]SEGUIMIENTO CONTRATOS 2018'!$A:$AJ,11,0)," ")</f>
        <v xml:space="preserve"> </v>
      </c>
      <c r="W60" s="790">
        <f>+IFERROR(VLOOKUP($A60,'[4]SEGUIMIENTO CONTRATOS 2018'!$A:$AJ,13,0),0)</f>
        <v>0</v>
      </c>
      <c r="X60" s="707">
        <f>+IFERROR(VLOOKUP($A60,'[4]SEGUIMIENTO CONTRATOS 2018'!$A:$AJ,14,0),0)</f>
        <v>0</v>
      </c>
      <c r="Y60" s="790">
        <f>+IFERROR(VLOOKUP($A60,'[4]SEGUIMIENTO CONTRATOS 2018'!$A:$AJ,15,0),0)</f>
        <v>0</v>
      </c>
      <c r="Z60" s="790">
        <f>+IFERROR(VLOOKUP($A60,'[4]SEGUIMIENTO CONTRATOS 2018'!$A:$AJ,15,0),0)</f>
        <v>0</v>
      </c>
      <c r="AA60" s="707" t="str">
        <f>+IFERROR(VLOOKUP($A60,'[4]SEGUIMIENTO CONTRATOS 2018'!$A:$AJ,16,0)," ")</f>
        <v xml:space="preserve"> </v>
      </c>
      <c r="AB60" s="707" t="str">
        <f>+IFERROR(VLOOKUP($A60,'[4]SEGUIMIENTO CONTRATOS 2018'!$A:$AL,38,0)," ")</f>
        <v xml:space="preserve"> </v>
      </c>
      <c r="AC60" s="707" t="str">
        <f>+IFERROR(VLOOKUP($A60,'[4]SEGUIMIENTO CONTRATOS 2018'!$A:$AJ,24,0)," ")</f>
        <v xml:space="preserve"> </v>
      </c>
      <c r="AD60" s="789" t="str">
        <f>+IFERROR(VLOOKUP($A60,'[4]SEGUIMIENTO CONTRATOS 2018'!$A:$AJ,25,0)," ")</f>
        <v xml:space="preserve"> </v>
      </c>
      <c r="AE60" s="789" t="str">
        <f>+IFERROR(VLOOKUP($A60,'[4]SEGUIMIENTO CONTRATOS 2018'!$A:$AJ,26,0)," ")</f>
        <v xml:space="preserve"> </v>
      </c>
      <c r="AF60" s="707" t="str">
        <f>+IFERROR(VLOOKUP($A60,'[4]SEGUIMIENTO CONTRATOS 2018'!$A:$AJ,30,0)," ")</f>
        <v xml:space="preserve"> </v>
      </c>
      <c r="AG60" s="707" t="str">
        <f>+IFERROR(VLOOKUP($A60,'[4]SEGUIMIENTO CONTRATOS 2018'!$A:$AJ,31,0)," ")</f>
        <v xml:space="preserve"> </v>
      </c>
    </row>
    <row r="61" spans="1:33" ht="139.5" x14ac:dyDescent="0.25">
      <c r="A61" s="717">
        <f t="shared" si="1"/>
        <v>40</v>
      </c>
      <c r="B61" s="700" t="s">
        <v>484</v>
      </c>
      <c r="C61" s="701" t="s">
        <v>70</v>
      </c>
      <c r="D61" s="702" t="s">
        <v>197</v>
      </c>
      <c r="E61" s="700" t="s">
        <v>48</v>
      </c>
      <c r="F61" s="700">
        <v>1</v>
      </c>
      <c r="G61" s="703" t="s">
        <v>80</v>
      </c>
      <c r="H61" s="704">
        <v>10</v>
      </c>
      <c r="I61" s="700" t="s">
        <v>173</v>
      </c>
      <c r="J61" s="700" t="s">
        <v>35</v>
      </c>
      <c r="K61" s="700" t="s">
        <v>42</v>
      </c>
      <c r="L61" s="705">
        <v>24000000</v>
      </c>
      <c r="M61" s="706">
        <v>24000000</v>
      </c>
      <c r="N61" s="700" t="s">
        <v>51</v>
      </c>
      <c r="O61" s="700" t="s">
        <v>36</v>
      </c>
      <c r="P61" s="700" t="s">
        <v>319</v>
      </c>
      <c r="Q61" s="80"/>
      <c r="R61" s="707" t="str">
        <f>+IFERROR(VLOOKUP($A61,'[4]SEGUIMIENTO CONTRATOS 2018'!$A:$AJ,2,0)," ")</f>
        <v xml:space="preserve"> </v>
      </c>
      <c r="S61" s="707" t="str">
        <f>+IFERROR(VLOOKUP($A61,'[4]SEGUIMIENTO CONTRATOS 2018'!$A:$AJ,3,0)," ")</f>
        <v xml:space="preserve"> </v>
      </c>
      <c r="T61" s="789" t="str">
        <f>+IFERROR(VLOOKUP($A61,'[4]SEGUIMIENTO CONTRATOS 2018'!$A:$AJ,8,0)," ")</f>
        <v xml:space="preserve"> </v>
      </c>
      <c r="U61" s="707" t="str">
        <f>+IFERROR(VLOOKUP($A61,'[4]SEGUIMIENTO CONTRATOS 2018'!$A:$AJ,9,0)," ")</f>
        <v xml:space="preserve"> </v>
      </c>
      <c r="V61" s="707" t="str">
        <f>+IFERROR(VLOOKUP($A61,'[4]SEGUIMIENTO CONTRATOS 2018'!$A:$AJ,11,0)," ")</f>
        <v xml:space="preserve"> </v>
      </c>
      <c r="W61" s="790">
        <f>+IFERROR(VLOOKUP($A61,'[4]SEGUIMIENTO CONTRATOS 2018'!$A:$AJ,13,0),0)</f>
        <v>0</v>
      </c>
      <c r="X61" s="707">
        <f>+IFERROR(VLOOKUP($A61,'[4]SEGUIMIENTO CONTRATOS 2018'!$A:$AJ,14,0),0)</f>
        <v>0</v>
      </c>
      <c r="Y61" s="790">
        <f>+IFERROR(VLOOKUP($A61,'[4]SEGUIMIENTO CONTRATOS 2018'!$A:$AJ,15,0),0)</f>
        <v>0</v>
      </c>
      <c r="Z61" s="790">
        <f>+IFERROR(VLOOKUP($A61,'[4]SEGUIMIENTO CONTRATOS 2018'!$A:$AJ,15,0),0)</f>
        <v>0</v>
      </c>
      <c r="AA61" s="707" t="str">
        <f>+IFERROR(VLOOKUP($A61,'[4]SEGUIMIENTO CONTRATOS 2018'!$A:$AJ,16,0)," ")</f>
        <v xml:space="preserve"> </v>
      </c>
      <c r="AB61" s="707" t="str">
        <f>+IFERROR(VLOOKUP($A61,'[4]SEGUIMIENTO CONTRATOS 2018'!$A:$AL,38,0)," ")</f>
        <v xml:space="preserve"> </v>
      </c>
      <c r="AC61" s="707" t="str">
        <f>+IFERROR(VLOOKUP($A61,'[4]SEGUIMIENTO CONTRATOS 2018'!$A:$AJ,24,0)," ")</f>
        <v xml:space="preserve"> </v>
      </c>
      <c r="AD61" s="789" t="str">
        <f>+IFERROR(VLOOKUP($A61,'[4]SEGUIMIENTO CONTRATOS 2018'!$A:$AJ,25,0)," ")</f>
        <v xml:space="preserve"> </v>
      </c>
      <c r="AE61" s="789" t="str">
        <f>+IFERROR(VLOOKUP($A61,'[4]SEGUIMIENTO CONTRATOS 2018'!$A:$AJ,26,0)," ")</f>
        <v xml:space="preserve"> </v>
      </c>
      <c r="AF61" s="707" t="str">
        <f>+IFERROR(VLOOKUP($A61,'[4]SEGUIMIENTO CONTRATOS 2018'!$A:$AJ,30,0)," ")</f>
        <v xml:space="preserve"> </v>
      </c>
      <c r="AG61" s="707" t="str">
        <f>+IFERROR(VLOOKUP($A61,'[4]SEGUIMIENTO CONTRATOS 2018'!$A:$AJ,31,0)," ")</f>
        <v xml:space="preserve"> </v>
      </c>
    </row>
    <row r="62" spans="1:33" ht="116.25" x14ac:dyDescent="0.25">
      <c r="A62" s="717">
        <f t="shared" si="1"/>
        <v>41</v>
      </c>
      <c r="B62" s="700" t="s">
        <v>484</v>
      </c>
      <c r="C62" s="701">
        <v>80101706</v>
      </c>
      <c r="D62" s="702" t="s">
        <v>63</v>
      </c>
      <c r="E62" s="700" t="s">
        <v>48</v>
      </c>
      <c r="F62" s="700">
        <v>1</v>
      </c>
      <c r="G62" s="703" t="s">
        <v>80</v>
      </c>
      <c r="H62" s="704">
        <v>10</v>
      </c>
      <c r="I62" s="700" t="s">
        <v>55</v>
      </c>
      <c r="J62" s="700" t="s">
        <v>35</v>
      </c>
      <c r="K62" s="700" t="s">
        <v>43</v>
      </c>
      <c r="L62" s="705">
        <v>10075000</v>
      </c>
      <c r="M62" s="706">
        <v>10075000</v>
      </c>
      <c r="N62" s="700" t="s">
        <v>51</v>
      </c>
      <c r="O62" s="700" t="s">
        <v>36</v>
      </c>
      <c r="P62" s="700" t="s">
        <v>319</v>
      </c>
      <c r="Q62" s="80"/>
      <c r="R62" s="707" t="str">
        <f>+IFERROR(VLOOKUP($A62,'[4]SEGUIMIENTO CONTRATOS 2018'!$A:$AJ,2,0)," ")</f>
        <v xml:space="preserve"> </v>
      </c>
      <c r="S62" s="707" t="str">
        <f>+IFERROR(VLOOKUP($A62,'[4]SEGUIMIENTO CONTRATOS 2018'!$A:$AJ,3,0)," ")</f>
        <v xml:space="preserve"> </v>
      </c>
      <c r="T62" s="789" t="str">
        <f>+IFERROR(VLOOKUP($A62,'[4]SEGUIMIENTO CONTRATOS 2018'!$A:$AJ,8,0)," ")</f>
        <v xml:space="preserve"> </v>
      </c>
      <c r="U62" s="707" t="str">
        <f>+IFERROR(VLOOKUP($A62,'[4]SEGUIMIENTO CONTRATOS 2018'!$A:$AJ,9,0)," ")</f>
        <v xml:space="preserve"> </v>
      </c>
      <c r="V62" s="707" t="str">
        <f>+IFERROR(VLOOKUP($A62,'[4]SEGUIMIENTO CONTRATOS 2018'!$A:$AJ,11,0)," ")</f>
        <v xml:space="preserve"> </v>
      </c>
      <c r="W62" s="790">
        <f>+IFERROR(VLOOKUP($A62,'[4]SEGUIMIENTO CONTRATOS 2018'!$A:$AJ,13,0),0)</f>
        <v>0</v>
      </c>
      <c r="X62" s="707">
        <f>+IFERROR(VLOOKUP($A62,'[4]SEGUIMIENTO CONTRATOS 2018'!$A:$AJ,14,0),0)</f>
        <v>0</v>
      </c>
      <c r="Y62" s="790">
        <f>+IFERROR(VLOOKUP($A62,'[4]SEGUIMIENTO CONTRATOS 2018'!$A:$AJ,15,0),0)</f>
        <v>0</v>
      </c>
      <c r="Z62" s="790">
        <f>+IFERROR(VLOOKUP($A62,'[4]SEGUIMIENTO CONTRATOS 2018'!$A:$AJ,15,0),0)</f>
        <v>0</v>
      </c>
      <c r="AA62" s="707" t="str">
        <f>+IFERROR(VLOOKUP($A62,'[4]SEGUIMIENTO CONTRATOS 2018'!$A:$AJ,16,0)," ")</f>
        <v xml:space="preserve"> </v>
      </c>
      <c r="AB62" s="707" t="str">
        <f>+IFERROR(VLOOKUP($A62,'[4]SEGUIMIENTO CONTRATOS 2018'!$A:$AL,38,0)," ")</f>
        <v xml:space="preserve"> </v>
      </c>
      <c r="AC62" s="707" t="str">
        <f>+IFERROR(VLOOKUP($A62,'[4]SEGUIMIENTO CONTRATOS 2018'!$A:$AJ,24,0)," ")</f>
        <v xml:space="preserve"> </v>
      </c>
      <c r="AD62" s="789" t="str">
        <f>+IFERROR(VLOOKUP($A62,'[4]SEGUIMIENTO CONTRATOS 2018'!$A:$AJ,25,0)," ")</f>
        <v xml:space="preserve"> </v>
      </c>
      <c r="AE62" s="789" t="str">
        <f>+IFERROR(VLOOKUP($A62,'[4]SEGUIMIENTO CONTRATOS 2018'!$A:$AJ,26,0)," ")</f>
        <v xml:space="preserve"> </v>
      </c>
      <c r="AF62" s="707" t="str">
        <f>+IFERROR(VLOOKUP($A62,'[4]SEGUIMIENTO CONTRATOS 2018'!$A:$AJ,30,0)," ")</f>
        <v xml:space="preserve"> </v>
      </c>
      <c r="AG62" s="707" t="str">
        <f>+IFERROR(VLOOKUP($A62,'[4]SEGUIMIENTO CONTRATOS 2018'!$A:$AJ,31,0)," ")</f>
        <v xml:space="preserve"> </v>
      </c>
    </row>
    <row r="63" spans="1:33" ht="86.45" customHeight="1" x14ac:dyDescent="0.25">
      <c r="A63" s="717">
        <f t="shared" si="1"/>
        <v>42</v>
      </c>
      <c r="B63" s="700" t="s">
        <v>484</v>
      </c>
      <c r="C63" s="701">
        <v>78111803</v>
      </c>
      <c r="D63" s="702" t="s">
        <v>64</v>
      </c>
      <c r="E63" s="700" t="s">
        <v>48</v>
      </c>
      <c r="F63" s="700">
        <v>1</v>
      </c>
      <c r="G63" s="703" t="s">
        <v>77</v>
      </c>
      <c r="H63" s="704" t="s">
        <v>156</v>
      </c>
      <c r="I63" s="700" t="s">
        <v>55</v>
      </c>
      <c r="J63" s="700" t="s">
        <v>35</v>
      </c>
      <c r="K63" s="700" t="s">
        <v>43</v>
      </c>
      <c r="L63" s="705">
        <v>15000000</v>
      </c>
      <c r="M63" s="706">
        <v>15000000</v>
      </c>
      <c r="N63" s="700" t="s">
        <v>51</v>
      </c>
      <c r="O63" s="700" t="s">
        <v>36</v>
      </c>
      <c r="P63" s="700" t="s">
        <v>319</v>
      </c>
      <c r="Q63" s="80"/>
      <c r="R63" s="707" t="str">
        <f>+IFERROR(VLOOKUP($A63,'[4]SEGUIMIENTO CONTRATOS 2018'!$A:$AJ,2,0)," ")</f>
        <v xml:space="preserve"> </v>
      </c>
      <c r="S63" s="707" t="str">
        <f>+IFERROR(VLOOKUP($A63,'[4]SEGUIMIENTO CONTRATOS 2018'!$A:$AJ,3,0)," ")</f>
        <v xml:space="preserve"> </v>
      </c>
      <c r="T63" s="789" t="str">
        <f>+IFERROR(VLOOKUP($A63,'[4]SEGUIMIENTO CONTRATOS 2018'!$A:$AJ,8,0)," ")</f>
        <v xml:space="preserve"> </v>
      </c>
      <c r="U63" s="707" t="str">
        <f>+IFERROR(VLOOKUP($A63,'[4]SEGUIMIENTO CONTRATOS 2018'!$A:$AJ,9,0)," ")</f>
        <v xml:space="preserve"> </v>
      </c>
      <c r="V63" s="707" t="str">
        <f>+IFERROR(VLOOKUP($A63,'[4]SEGUIMIENTO CONTRATOS 2018'!$A:$AJ,11,0)," ")</f>
        <v xml:space="preserve"> </v>
      </c>
      <c r="W63" s="790">
        <f>+IFERROR(VLOOKUP($A63,'[4]SEGUIMIENTO CONTRATOS 2018'!$A:$AJ,13,0),0)</f>
        <v>0</v>
      </c>
      <c r="X63" s="707">
        <f>+IFERROR(VLOOKUP($A63,'[4]SEGUIMIENTO CONTRATOS 2018'!$A:$AJ,14,0),0)</f>
        <v>0</v>
      </c>
      <c r="Y63" s="790">
        <f>+IFERROR(VLOOKUP($A63,'[4]SEGUIMIENTO CONTRATOS 2018'!$A:$AJ,15,0),0)</f>
        <v>0</v>
      </c>
      <c r="Z63" s="790">
        <f>+IFERROR(VLOOKUP($A63,'[4]SEGUIMIENTO CONTRATOS 2018'!$A:$AJ,15,0),0)</f>
        <v>0</v>
      </c>
      <c r="AA63" s="707" t="str">
        <f>+IFERROR(VLOOKUP($A63,'[4]SEGUIMIENTO CONTRATOS 2018'!$A:$AJ,16,0)," ")</f>
        <v xml:space="preserve"> </v>
      </c>
      <c r="AB63" s="707" t="str">
        <f>+IFERROR(VLOOKUP($A63,'[4]SEGUIMIENTO CONTRATOS 2018'!$A:$AL,38,0)," ")</f>
        <v xml:space="preserve"> </v>
      </c>
      <c r="AC63" s="707" t="str">
        <f>+IFERROR(VLOOKUP($A63,'[4]SEGUIMIENTO CONTRATOS 2018'!$A:$AJ,24,0)," ")</f>
        <v xml:space="preserve"> </v>
      </c>
      <c r="AD63" s="789" t="str">
        <f>+IFERROR(VLOOKUP($A63,'[4]SEGUIMIENTO CONTRATOS 2018'!$A:$AJ,25,0)," ")</f>
        <v xml:space="preserve"> </v>
      </c>
      <c r="AE63" s="789" t="str">
        <f>+IFERROR(VLOOKUP($A63,'[4]SEGUIMIENTO CONTRATOS 2018'!$A:$AJ,26,0)," ")</f>
        <v xml:space="preserve"> </v>
      </c>
      <c r="AF63" s="707" t="str">
        <f>+IFERROR(VLOOKUP($A63,'[4]SEGUIMIENTO CONTRATOS 2018'!$A:$AJ,30,0)," ")</f>
        <v xml:space="preserve"> </v>
      </c>
      <c r="AG63" s="707" t="str">
        <f>+IFERROR(VLOOKUP($A63,'[4]SEGUIMIENTO CONTRATOS 2018'!$A:$AJ,31,0)," ")</f>
        <v xml:space="preserve"> </v>
      </c>
    </row>
    <row r="64" spans="1:33" ht="69.75" x14ac:dyDescent="0.25">
      <c r="A64" s="717">
        <f t="shared" si="1"/>
        <v>43</v>
      </c>
      <c r="B64" s="700" t="s">
        <v>484</v>
      </c>
      <c r="C64" s="701" t="s">
        <v>72</v>
      </c>
      <c r="D64" s="702" t="s">
        <v>65</v>
      </c>
      <c r="E64" s="700" t="s">
        <v>48</v>
      </c>
      <c r="F64" s="700">
        <v>1</v>
      </c>
      <c r="G64" s="703" t="s">
        <v>180</v>
      </c>
      <c r="H64" s="704" t="s">
        <v>156</v>
      </c>
      <c r="I64" s="700" t="s">
        <v>55</v>
      </c>
      <c r="J64" s="700" t="s">
        <v>35</v>
      </c>
      <c r="K64" s="700" t="s">
        <v>45</v>
      </c>
      <c r="L64" s="705">
        <v>17000000</v>
      </c>
      <c r="M64" s="706">
        <v>17000000</v>
      </c>
      <c r="N64" s="700" t="s">
        <v>51</v>
      </c>
      <c r="O64" s="700" t="s">
        <v>36</v>
      </c>
      <c r="P64" s="700" t="s">
        <v>319</v>
      </c>
      <c r="Q64" s="80"/>
      <c r="R64" s="707" t="str">
        <f>+IFERROR(VLOOKUP($A64,'[4]SEGUIMIENTO CONTRATOS 2018'!$A:$AJ,2,0)," ")</f>
        <v xml:space="preserve"> </v>
      </c>
      <c r="S64" s="707" t="str">
        <f>+IFERROR(VLOOKUP($A64,'[4]SEGUIMIENTO CONTRATOS 2018'!$A:$AJ,3,0)," ")</f>
        <v xml:space="preserve"> </v>
      </c>
      <c r="T64" s="789" t="str">
        <f>+IFERROR(VLOOKUP($A64,'[4]SEGUIMIENTO CONTRATOS 2018'!$A:$AJ,8,0)," ")</f>
        <v xml:space="preserve"> </v>
      </c>
      <c r="U64" s="707" t="str">
        <f>+IFERROR(VLOOKUP($A64,'[4]SEGUIMIENTO CONTRATOS 2018'!$A:$AJ,9,0)," ")</f>
        <v xml:space="preserve"> </v>
      </c>
      <c r="V64" s="707" t="str">
        <f>+IFERROR(VLOOKUP($A64,'[4]SEGUIMIENTO CONTRATOS 2018'!$A:$AJ,11,0)," ")</f>
        <v xml:space="preserve"> </v>
      </c>
      <c r="W64" s="790">
        <f>+IFERROR(VLOOKUP($A64,'[4]SEGUIMIENTO CONTRATOS 2018'!$A:$AJ,13,0),0)</f>
        <v>0</v>
      </c>
      <c r="X64" s="707">
        <f>+IFERROR(VLOOKUP($A64,'[4]SEGUIMIENTO CONTRATOS 2018'!$A:$AJ,14,0),0)</f>
        <v>0</v>
      </c>
      <c r="Y64" s="790">
        <f>+IFERROR(VLOOKUP($A64,'[4]SEGUIMIENTO CONTRATOS 2018'!$A:$AJ,15,0),0)</f>
        <v>0</v>
      </c>
      <c r="Z64" s="790">
        <f>+IFERROR(VLOOKUP($A64,'[4]SEGUIMIENTO CONTRATOS 2018'!$A:$AJ,15,0),0)</f>
        <v>0</v>
      </c>
      <c r="AA64" s="707" t="str">
        <f>+IFERROR(VLOOKUP($A64,'[4]SEGUIMIENTO CONTRATOS 2018'!$A:$AJ,16,0)," ")</f>
        <v xml:space="preserve"> </v>
      </c>
      <c r="AB64" s="707" t="str">
        <f>+IFERROR(VLOOKUP($A64,'[4]SEGUIMIENTO CONTRATOS 2018'!$A:$AL,38,0)," ")</f>
        <v xml:space="preserve"> </v>
      </c>
      <c r="AC64" s="707" t="str">
        <f>+IFERROR(VLOOKUP($A64,'[4]SEGUIMIENTO CONTRATOS 2018'!$A:$AJ,24,0)," ")</f>
        <v xml:space="preserve"> </v>
      </c>
      <c r="AD64" s="789" t="str">
        <f>+IFERROR(VLOOKUP($A64,'[4]SEGUIMIENTO CONTRATOS 2018'!$A:$AJ,25,0)," ")</f>
        <v xml:space="preserve"> </v>
      </c>
      <c r="AE64" s="789" t="str">
        <f>+IFERROR(VLOOKUP($A64,'[4]SEGUIMIENTO CONTRATOS 2018'!$A:$AJ,26,0)," ")</f>
        <v xml:space="preserve"> </v>
      </c>
      <c r="AF64" s="707" t="str">
        <f>+IFERROR(VLOOKUP($A64,'[4]SEGUIMIENTO CONTRATOS 2018'!$A:$AJ,30,0)," ")</f>
        <v xml:space="preserve"> </v>
      </c>
      <c r="AG64" s="707" t="str">
        <f>+IFERROR(VLOOKUP($A64,'[4]SEGUIMIENTO CONTRATOS 2018'!$A:$AJ,31,0)," ")</f>
        <v xml:space="preserve"> </v>
      </c>
    </row>
    <row r="65" spans="1:33" ht="186.75" customHeight="1" x14ac:dyDescent="0.25">
      <c r="A65" s="748">
        <f t="shared" si="1"/>
        <v>44</v>
      </c>
      <c r="B65" s="700" t="s">
        <v>485</v>
      </c>
      <c r="C65" s="701" t="s">
        <v>67</v>
      </c>
      <c r="D65" s="702" t="s">
        <v>587</v>
      </c>
      <c r="E65" s="700" t="s">
        <v>48</v>
      </c>
      <c r="F65" s="700">
        <v>1</v>
      </c>
      <c r="G65" s="683" t="s">
        <v>75</v>
      </c>
      <c r="H65" s="704" t="s">
        <v>250</v>
      </c>
      <c r="I65" s="700" t="s">
        <v>55</v>
      </c>
      <c r="J65" s="700" t="s">
        <v>35</v>
      </c>
      <c r="K65" s="700" t="s">
        <v>43</v>
      </c>
      <c r="L65" s="705">
        <v>5000000</v>
      </c>
      <c r="M65" s="706">
        <v>5000000</v>
      </c>
      <c r="N65" s="700" t="s">
        <v>51</v>
      </c>
      <c r="O65" s="700" t="s">
        <v>36</v>
      </c>
      <c r="P65" s="700" t="s">
        <v>319</v>
      </c>
      <c r="Q65" s="80"/>
      <c r="R65" s="707" t="str">
        <f>+IFERROR(VLOOKUP($A65,'[4]SEGUIMIENTO CONTRATOS 2018'!$A:$AJ,2,0)," ")</f>
        <v xml:space="preserve"> </v>
      </c>
      <c r="S65" s="707" t="str">
        <f>+IFERROR(VLOOKUP($A65,'[4]SEGUIMIENTO CONTRATOS 2018'!$A:$AJ,3,0)," ")</f>
        <v xml:space="preserve"> </v>
      </c>
      <c r="T65" s="789" t="str">
        <f>+IFERROR(VLOOKUP($A65,'[4]SEGUIMIENTO CONTRATOS 2018'!$A:$AJ,8,0)," ")</f>
        <v xml:space="preserve"> </v>
      </c>
      <c r="U65" s="707" t="str">
        <f>+IFERROR(VLOOKUP($A65,'[4]SEGUIMIENTO CONTRATOS 2018'!$A:$AJ,9,0)," ")</f>
        <v xml:space="preserve"> </v>
      </c>
      <c r="V65" s="707" t="str">
        <f>+IFERROR(VLOOKUP($A65,'[4]SEGUIMIENTO CONTRATOS 2018'!$A:$AJ,11,0)," ")</f>
        <v xml:space="preserve"> </v>
      </c>
      <c r="W65" s="790">
        <f>+IFERROR(VLOOKUP($A65,'[4]SEGUIMIENTO CONTRATOS 2018'!$A:$AJ,13,0),0)</f>
        <v>0</v>
      </c>
      <c r="X65" s="707">
        <f>+IFERROR(VLOOKUP($A65,'[4]SEGUIMIENTO CONTRATOS 2018'!$A:$AJ,14,0),0)</f>
        <v>0</v>
      </c>
      <c r="Y65" s="790">
        <f>+IFERROR(VLOOKUP($A65,'[4]SEGUIMIENTO CONTRATOS 2018'!$A:$AJ,15,0),0)</f>
        <v>0</v>
      </c>
      <c r="Z65" s="790">
        <f>+IFERROR(VLOOKUP($A65,'[4]SEGUIMIENTO CONTRATOS 2018'!$A:$AJ,15,0),0)</f>
        <v>0</v>
      </c>
      <c r="AA65" s="707" t="str">
        <f>+IFERROR(VLOOKUP($A65,'[4]SEGUIMIENTO CONTRATOS 2018'!$A:$AJ,16,0)," ")</f>
        <v xml:space="preserve"> </v>
      </c>
      <c r="AB65" s="707" t="str">
        <f>+IFERROR(VLOOKUP($A65,'[4]SEGUIMIENTO CONTRATOS 2018'!$A:$AL,38,0)," ")</f>
        <v xml:space="preserve"> </v>
      </c>
      <c r="AC65" s="707" t="str">
        <f>+IFERROR(VLOOKUP($A65,'[4]SEGUIMIENTO CONTRATOS 2018'!$A:$AJ,24,0)," ")</f>
        <v xml:space="preserve"> </v>
      </c>
      <c r="AD65" s="789" t="str">
        <f>+IFERROR(VLOOKUP($A65,'[4]SEGUIMIENTO CONTRATOS 2018'!$A:$AJ,25,0)," ")</f>
        <v xml:space="preserve"> </v>
      </c>
      <c r="AE65" s="789" t="str">
        <f>+IFERROR(VLOOKUP($A65,'[4]SEGUIMIENTO CONTRATOS 2018'!$A:$AJ,26,0)," ")</f>
        <v xml:space="preserve"> </v>
      </c>
      <c r="AF65" s="707" t="str">
        <f>+IFERROR(VLOOKUP($A65,'[4]SEGUIMIENTO CONTRATOS 2018'!$A:$AJ,30,0)," ")</f>
        <v xml:space="preserve"> </v>
      </c>
      <c r="AG65" s="707" t="str">
        <f>+IFERROR(VLOOKUP($A65,'[4]SEGUIMIENTO CONTRATOS 2018'!$A:$AJ,31,0)," ")</f>
        <v xml:space="preserve"> </v>
      </c>
    </row>
    <row r="66" spans="1:33" ht="195" x14ac:dyDescent="0.25">
      <c r="A66" s="690">
        <f t="shared" si="1"/>
        <v>45</v>
      </c>
      <c r="B66" s="691" t="s">
        <v>198</v>
      </c>
      <c r="C66" s="692">
        <v>60106600</v>
      </c>
      <c r="D66" s="693" t="s">
        <v>656</v>
      </c>
      <c r="E66" s="691" t="s">
        <v>48</v>
      </c>
      <c r="F66" s="691">
        <v>1</v>
      </c>
      <c r="G66" s="694" t="s">
        <v>81</v>
      </c>
      <c r="H66" s="695" t="s">
        <v>156</v>
      </c>
      <c r="I66" s="691" t="s">
        <v>61</v>
      </c>
      <c r="J66" s="691" t="s">
        <v>66</v>
      </c>
      <c r="K66" s="691" t="s">
        <v>608</v>
      </c>
      <c r="L66" s="696">
        <v>4000000</v>
      </c>
      <c r="M66" s="697">
        <v>4000000</v>
      </c>
      <c r="N66" s="691" t="s">
        <v>51</v>
      </c>
      <c r="O66" s="691" t="s">
        <v>36</v>
      </c>
      <c r="P66" s="691" t="s">
        <v>306</v>
      </c>
      <c r="Q66" s="80"/>
      <c r="R66" s="698" t="str">
        <f>+IFERROR(VLOOKUP($A66,'[4]SEGUIMIENTO CONTRATOS 2018'!$A:$AJ,2,0)," ")</f>
        <v>141-2018</v>
      </c>
      <c r="S66" s="698" t="str">
        <f>+IFERROR(VLOOKUP($A66,'[4]SEGUIMIENTO CONTRATOS 2018'!$A:$AJ,3,0)," ")</f>
        <v>PSICOLOGOS ESPECIALISTAS ASOCIADOS PSEA S.A.S</v>
      </c>
      <c r="T66" s="751">
        <f>+IFERROR(VLOOKUP($A66,'[4]SEGUIMIENTO CONTRATOS 2018'!$A:$AJ,8,0)," ")</f>
        <v>43125</v>
      </c>
      <c r="U66" s="698" t="str">
        <f>+IFERROR(VLOOKUP($A66,'[4]SEGUIMIENTO CONTRATOS 2018'!$A:$AJ,9,0)," ")</f>
        <v xml:space="preserve">Adquirir las pruebas Test de Wartegg, para la evaluación de las competencias laborales de los aspirantes a cargos, en los distintos niveles de la Administración Pública. </v>
      </c>
      <c r="V66" s="698" t="str">
        <f>+IFERROR(VLOOKUP($A66,'[4]SEGUIMIENTO CONTRATOS 2018'!$A:$AJ,11,0)," ")</f>
        <v>CONTRATO DE COMPRAVENTA</v>
      </c>
      <c r="W66" s="752">
        <f>+IFERROR(VLOOKUP($A66,'[4]SEGUIMIENTO CONTRATOS 2018'!$A:$AJ,13,0),0)</f>
        <v>1120000</v>
      </c>
      <c r="X66" s="698">
        <f>+IFERROR(VLOOKUP($A66,'[4]SEGUIMIENTO CONTRATOS 2018'!$A:$AJ,14,0),0)</f>
        <v>0</v>
      </c>
      <c r="Y66" s="752">
        <f>+IFERROR(VLOOKUP($A66,'[4]SEGUIMIENTO CONTRATOS 2018'!$A:$AJ,15,0),0)</f>
        <v>1120000</v>
      </c>
      <c r="Z66" s="752">
        <f>+IFERROR(VLOOKUP($A66,'[4]SEGUIMIENTO CONTRATOS 2018'!$A:$AJ,15,0),0)</f>
        <v>1120000</v>
      </c>
      <c r="AA66" s="698" t="str">
        <f>+IFERROR(VLOOKUP($A66,'[4]SEGUIMIENTO CONTRATOS 2018'!$A:$AJ,16,0)," ")</f>
        <v>un (1) solo pago, previa presentación de la respectiva factura y expedición del certificado de cumplimiento y evaluación del contratista firmado por el supervisor. El desembolso estará supeditado al pago de los aportes al Sistema Integral de Seguridad Social en Salud, Pensión y Riesgos Laborales, así como los propios del Sena, ICBF y Cajas de Compensación Familiar, de conformidad con lo establecido en el inciso 3º del artículo 50 de la ley 789 de 2002; así como al Programa Anual Mensualizado de Caja P.A.C. y al cumplimiento de los procedimientos presupuestales.</v>
      </c>
      <c r="AB66" s="698" t="str">
        <f>+IFERROR(VLOOKUP($A66,'[4]SEGUIMIENTO CONTRATOS 2018'!$A:$AL,38,0)," ")</f>
        <v>17718</v>
      </c>
      <c r="AC66" s="698" t="str">
        <f>+IFERROR(VLOOKUP($A66,'[4]SEGUIMIENTO CONTRATOS 2018'!$A:$AJ,24,0)," ")</f>
        <v>Un (1) mes, contado a partir de la fecha de perfeccionamiento y registro presupuestal.</v>
      </c>
      <c r="AD66" s="751">
        <f>+IFERROR(VLOOKUP($A66,'[4]SEGUIMIENTO CONTRATOS 2018'!$A:$AJ,25,0)," ")</f>
        <v>43126</v>
      </c>
      <c r="AE66" s="751">
        <f>+IFERROR(VLOOKUP($A66,'[4]SEGUIMIENTO CONTRATOS 2018'!$A:$AJ,26,0)," ")</f>
        <v>43156</v>
      </c>
      <c r="AF66" s="698" t="str">
        <f>+IFERROR(VLOOKUP($A66,'[4]SEGUIMIENTO CONTRATOS 2018'!$A:$AJ,30,0)," ")</f>
        <v xml:space="preserve">VIVIANA MARCELA FAJARDO SUÁREZ </v>
      </c>
      <c r="AG66" s="698" t="str">
        <f>+IFERROR(VLOOKUP($A66,'[4]SEGUIMIENTO CONTRATOS 2018'!$A:$AJ,31,0)," ")</f>
        <v>GRUPO DE APOYO A LA MERITOCRACIA</v>
      </c>
    </row>
    <row r="67" spans="1:33" ht="116.25" x14ac:dyDescent="0.25">
      <c r="A67" s="599">
        <f t="shared" si="1"/>
        <v>46</v>
      </c>
      <c r="B67" s="600" t="s">
        <v>198</v>
      </c>
      <c r="C67" s="687">
        <v>55101500</v>
      </c>
      <c r="D67" s="602" t="s">
        <v>657</v>
      </c>
      <c r="E67" s="600" t="s">
        <v>48</v>
      </c>
      <c r="F67" s="600">
        <v>1</v>
      </c>
      <c r="G67" s="603" t="s">
        <v>81</v>
      </c>
      <c r="H67" s="604" t="s">
        <v>156</v>
      </c>
      <c r="I67" s="600" t="s">
        <v>61</v>
      </c>
      <c r="J67" s="600" t="s">
        <v>66</v>
      </c>
      <c r="K67" s="600" t="s">
        <v>608</v>
      </c>
      <c r="L67" s="605">
        <v>15000000</v>
      </c>
      <c r="M67" s="606">
        <v>15000000</v>
      </c>
      <c r="N67" s="600" t="s">
        <v>51</v>
      </c>
      <c r="O67" s="600" t="s">
        <v>36</v>
      </c>
      <c r="P67" s="600" t="s">
        <v>306</v>
      </c>
      <c r="Q67" s="80"/>
      <c r="R67" s="707" t="str">
        <f>+IFERROR(VLOOKUP($A67,'[4]SEGUIMIENTO CONTRATOS 2018'!$A:$AJ,2,0)," ")</f>
        <v xml:space="preserve"> </v>
      </c>
      <c r="S67" s="707" t="str">
        <f>+IFERROR(VLOOKUP($A67,'[4]SEGUIMIENTO CONTRATOS 2018'!$A:$AJ,3,0)," ")</f>
        <v xml:space="preserve"> </v>
      </c>
      <c r="T67" s="789" t="str">
        <f>+IFERROR(VLOOKUP($A67,'[4]SEGUIMIENTO CONTRATOS 2018'!$A:$AJ,8,0)," ")</f>
        <v xml:space="preserve"> </v>
      </c>
      <c r="U67" s="707" t="str">
        <f>+IFERROR(VLOOKUP($A67,'[4]SEGUIMIENTO CONTRATOS 2018'!$A:$AJ,9,0)," ")</f>
        <v xml:space="preserve"> </v>
      </c>
      <c r="V67" s="707" t="str">
        <f>+IFERROR(VLOOKUP($A67,'[4]SEGUIMIENTO CONTRATOS 2018'!$A:$AJ,11,0)," ")</f>
        <v xml:space="preserve"> </v>
      </c>
      <c r="W67" s="790">
        <f>+IFERROR(VLOOKUP($A67,'[4]SEGUIMIENTO CONTRATOS 2018'!$A:$AJ,13,0),0)</f>
        <v>0</v>
      </c>
      <c r="X67" s="707">
        <f>+IFERROR(VLOOKUP($A67,'[4]SEGUIMIENTO CONTRATOS 2018'!$A:$AJ,14,0),0)</f>
        <v>0</v>
      </c>
      <c r="Y67" s="790">
        <f>+IFERROR(VLOOKUP($A67,'[4]SEGUIMIENTO CONTRATOS 2018'!$A:$AJ,15,0),0)</f>
        <v>0</v>
      </c>
      <c r="Z67" s="790">
        <f>+IFERROR(VLOOKUP($A67,'[4]SEGUIMIENTO CONTRATOS 2018'!$A:$AJ,15,0),0)</f>
        <v>0</v>
      </c>
      <c r="AA67" s="707" t="str">
        <f>+IFERROR(VLOOKUP($A67,'[4]SEGUIMIENTO CONTRATOS 2018'!$A:$AJ,16,0)," ")</f>
        <v xml:space="preserve"> </v>
      </c>
      <c r="AB67" s="707" t="str">
        <f>+IFERROR(VLOOKUP($A67,'[4]SEGUIMIENTO CONTRATOS 2018'!$A:$AL,38,0)," ")</f>
        <v xml:space="preserve"> </v>
      </c>
      <c r="AC67" s="707" t="str">
        <f>+IFERROR(VLOOKUP($A67,'[4]SEGUIMIENTO CONTRATOS 2018'!$A:$AJ,24,0)," ")</f>
        <v xml:space="preserve"> </v>
      </c>
      <c r="AD67" s="789" t="str">
        <f>+IFERROR(VLOOKUP($A67,'[4]SEGUIMIENTO CONTRATOS 2018'!$A:$AJ,25,0)," ")</f>
        <v xml:space="preserve"> </v>
      </c>
      <c r="AE67" s="789" t="str">
        <f>+IFERROR(VLOOKUP($A67,'[4]SEGUIMIENTO CONTRATOS 2018'!$A:$AJ,26,0)," ")</f>
        <v xml:space="preserve"> </v>
      </c>
      <c r="AF67" s="707" t="str">
        <f>+IFERROR(VLOOKUP($A67,'[4]SEGUIMIENTO CONTRATOS 2018'!$A:$AJ,30,0)," ")</f>
        <v xml:space="preserve"> </v>
      </c>
      <c r="AG67" s="707" t="str">
        <f>+IFERROR(VLOOKUP($A67,'[4]SEGUIMIENTO CONTRATOS 2018'!$A:$AJ,31,0)," ")</f>
        <v xml:space="preserve"> </v>
      </c>
    </row>
    <row r="68" spans="1:33" ht="93" x14ac:dyDescent="0.25">
      <c r="A68" s="599">
        <f t="shared" si="1"/>
        <v>47</v>
      </c>
      <c r="B68" s="600" t="s">
        <v>492</v>
      </c>
      <c r="C68" s="687">
        <v>81112502</v>
      </c>
      <c r="D68" s="602" t="s">
        <v>207</v>
      </c>
      <c r="E68" s="600" t="s">
        <v>48</v>
      </c>
      <c r="F68" s="600">
        <v>1</v>
      </c>
      <c r="G68" s="603" t="s">
        <v>77</v>
      </c>
      <c r="H68" s="604">
        <v>36</v>
      </c>
      <c r="I68" s="600" t="s">
        <v>173</v>
      </c>
      <c r="J68" s="600" t="s">
        <v>35</v>
      </c>
      <c r="K68" s="600" t="s">
        <v>161</v>
      </c>
      <c r="L68" s="606">
        <v>742768936.55485713</v>
      </c>
      <c r="M68" s="606">
        <v>20632470</v>
      </c>
      <c r="N68" s="600" t="s">
        <v>49</v>
      </c>
      <c r="O68" s="600" t="s">
        <v>447</v>
      </c>
      <c r="P68" s="600" t="s">
        <v>308</v>
      </c>
      <c r="Q68" s="80"/>
      <c r="R68" s="707" t="str">
        <f>+IFERROR(VLOOKUP($A68,'[4]SEGUIMIENTO CONTRATOS 2018'!$A:$AJ,2,0)," ")</f>
        <v xml:space="preserve"> </v>
      </c>
      <c r="S68" s="707" t="str">
        <f>+IFERROR(VLOOKUP($A68,'[4]SEGUIMIENTO CONTRATOS 2018'!$A:$AJ,3,0)," ")</f>
        <v xml:space="preserve"> </v>
      </c>
      <c r="T68" s="789" t="str">
        <f>+IFERROR(VLOOKUP($A68,'[4]SEGUIMIENTO CONTRATOS 2018'!$A:$AJ,8,0)," ")</f>
        <v xml:space="preserve"> </v>
      </c>
      <c r="U68" s="707" t="str">
        <f>+IFERROR(VLOOKUP($A68,'[4]SEGUIMIENTO CONTRATOS 2018'!$A:$AJ,9,0)," ")</f>
        <v xml:space="preserve"> </v>
      </c>
      <c r="V68" s="707" t="str">
        <f>+IFERROR(VLOOKUP($A68,'[4]SEGUIMIENTO CONTRATOS 2018'!$A:$AJ,11,0)," ")</f>
        <v xml:space="preserve"> </v>
      </c>
      <c r="W68" s="790">
        <f>+IFERROR(VLOOKUP($A68,'[4]SEGUIMIENTO CONTRATOS 2018'!$A:$AJ,13,0),0)</f>
        <v>0</v>
      </c>
      <c r="X68" s="707">
        <f>+IFERROR(VLOOKUP($A68,'[4]SEGUIMIENTO CONTRATOS 2018'!$A:$AJ,14,0),0)</f>
        <v>0</v>
      </c>
      <c r="Y68" s="790">
        <f>+IFERROR(VLOOKUP($A68,'[4]SEGUIMIENTO CONTRATOS 2018'!$A:$AJ,15,0),0)</f>
        <v>0</v>
      </c>
      <c r="Z68" s="790">
        <f>+IFERROR(VLOOKUP($A68,'[4]SEGUIMIENTO CONTRATOS 2018'!$A:$AJ,15,0),0)</f>
        <v>0</v>
      </c>
      <c r="AA68" s="707" t="str">
        <f>+IFERROR(VLOOKUP($A68,'[4]SEGUIMIENTO CONTRATOS 2018'!$A:$AJ,16,0)," ")</f>
        <v xml:space="preserve"> </v>
      </c>
      <c r="AB68" s="707" t="str">
        <f>+IFERROR(VLOOKUP($A68,'[4]SEGUIMIENTO CONTRATOS 2018'!$A:$AL,38,0)," ")</f>
        <v xml:space="preserve"> </v>
      </c>
      <c r="AC68" s="707" t="str">
        <f>+IFERROR(VLOOKUP($A68,'[4]SEGUIMIENTO CONTRATOS 2018'!$A:$AJ,24,0)," ")</f>
        <v xml:space="preserve"> </v>
      </c>
      <c r="AD68" s="789" t="str">
        <f>+IFERROR(VLOOKUP($A68,'[4]SEGUIMIENTO CONTRATOS 2018'!$A:$AJ,25,0)," ")</f>
        <v xml:space="preserve"> </v>
      </c>
      <c r="AE68" s="789" t="str">
        <f>+IFERROR(VLOOKUP($A68,'[4]SEGUIMIENTO CONTRATOS 2018'!$A:$AJ,26,0)," ")</f>
        <v xml:space="preserve"> </v>
      </c>
      <c r="AF68" s="707" t="str">
        <f>+IFERROR(VLOOKUP($A68,'[4]SEGUIMIENTO CONTRATOS 2018'!$A:$AJ,30,0)," ")</f>
        <v xml:space="preserve"> </v>
      </c>
      <c r="AG68" s="707" t="str">
        <f>+IFERROR(VLOOKUP($A68,'[4]SEGUIMIENTO CONTRATOS 2018'!$A:$AJ,31,0)," ")</f>
        <v xml:space="preserve"> </v>
      </c>
    </row>
    <row r="69" spans="1:33" ht="93" x14ac:dyDescent="0.25">
      <c r="A69" s="599">
        <f t="shared" si="1"/>
        <v>48</v>
      </c>
      <c r="B69" s="600" t="s">
        <v>492</v>
      </c>
      <c r="C69" s="687">
        <v>43222815</v>
      </c>
      <c r="D69" s="602" t="s">
        <v>213</v>
      </c>
      <c r="E69" s="600" t="s">
        <v>48</v>
      </c>
      <c r="F69" s="600">
        <v>1</v>
      </c>
      <c r="G69" s="603" t="s">
        <v>77</v>
      </c>
      <c r="H69" s="604">
        <v>36</v>
      </c>
      <c r="I69" s="600" t="s">
        <v>173</v>
      </c>
      <c r="J69" s="600" t="s">
        <v>35</v>
      </c>
      <c r="K69" s="600" t="s">
        <v>161</v>
      </c>
      <c r="L69" s="606">
        <v>486565343.86114293</v>
      </c>
      <c r="M69" s="606">
        <v>13515704</v>
      </c>
      <c r="N69" s="600" t="s">
        <v>49</v>
      </c>
      <c r="O69" s="600" t="s">
        <v>447</v>
      </c>
      <c r="P69" s="600" t="s">
        <v>308</v>
      </c>
      <c r="Q69" s="80"/>
      <c r="R69" s="707" t="str">
        <f>+IFERROR(VLOOKUP($A69,'[4]SEGUIMIENTO CONTRATOS 2018'!$A:$AJ,2,0)," ")</f>
        <v xml:space="preserve"> </v>
      </c>
      <c r="S69" s="707" t="str">
        <f>+IFERROR(VLOOKUP($A69,'[4]SEGUIMIENTO CONTRATOS 2018'!$A:$AJ,3,0)," ")</f>
        <v xml:space="preserve"> </v>
      </c>
      <c r="T69" s="789" t="str">
        <f>+IFERROR(VLOOKUP($A69,'[4]SEGUIMIENTO CONTRATOS 2018'!$A:$AJ,8,0)," ")</f>
        <v xml:space="preserve"> </v>
      </c>
      <c r="U69" s="707" t="str">
        <f>+IFERROR(VLOOKUP($A69,'[4]SEGUIMIENTO CONTRATOS 2018'!$A:$AJ,9,0)," ")</f>
        <v xml:space="preserve"> </v>
      </c>
      <c r="V69" s="707" t="str">
        <f>+IFERROR(VLOOKUP($A69,'[4]SEGUIMIENTO CONTRATOS 2018'!$A:$AJ,11,0)," ")</f>
        <v xml:space="preserve"> </v>
      </c>
      <c r="W69" s="790">
        <f>+IFERROR(VLOOKUP($A69,'[4]SEGUIMIENTO CONTRATOS 2018'!$A:$AJ,13,0),0)</f>
        <v>0</v>
      </c>
      <c r="X69" s="707">
        <f>+IFERROR(VLOOKUP($A69,'[4]SEGUIMIENTO CONTRATOS 2018'!$A:$AJ,14,0),0)</f>
        <v>0</v>
      </c>
      <c r="Y69" s="790">
        <f>+IFERROR(VLOOKUP($A69,'[4]SEGUIMIENTO CONTRATOS 2018'!$A:$AJ,15,0),0)</f>
        <v>0</v>
      </c>
      <c r="Z69" s="790">
        <f>+IFERROR(VLOOKUP($A69,'[4]SEGUIMIENTO CONTRATOS 2018'!$A:$AJ,15,0),0)</f>
        <v>0</v>
      </c>
      <c r="AA69" s="707" t="str">
        <f>+IFERROR(VLOOKUP($A69,'[4]SEGUIMIENTO CONTRATOS 2018'!$A:$AJ,16,0)," ")</f>
        <v xml:space="preserve"> </v>
      </c>
      <c r="AB69" s="707" t="str">
        <f>+IFERROR(VLOOKUP($A69,'[4]SEGUIMIENTO CONTRATOS 2018'!$A:$AL,38,0)," ")</f>
        <v xml:space="preserve"> </v>
      </c>
      <c r="AC69" s="707" t="str">
        <f>+IFERROR(VLOOKUP($A69,'[4]SEGUIMIENTO CONTRATOS 2018'!$A:$AJ,24,0)," ")</f>
        <v xml:space="preserve"> </v>
      </c>
      <c r="AD69" s="789" t="str">
        <f>+IFERROR(VLOOKUP($A69,'[4]SEGUIMIENTO CONTRATOS 2018'!$A:$AJ,25,0)," ")</f>
        <v xml:space="preserve"> </v>
      </c>
      <c r="AE69" s="789" t="str">
        <f>+IFERROR(VLOOKUP($A69,'[4]SEGUIMIENTO CONTRATOS 2018'!$A:$AJ,26,0)," ")</f>
        <v xml:space="preserve"> </v>
      </c>
      <c r="AF69" s="707" t="str">
        <f>+IFERROR(VLOOKUP($A69,'[4]SEGUIMIENTO CONTRATOS 2018'!$A:$AJ,30,0)," ")</f>
        <v xml:space="preserve"> </v>
      </c>
      <c r="AG69" s="707" t="str">
        <f>+IFERROR(VLOOKUP($A69,'[4]SEGUIMIENTO CONTRATOS 2018'!$A:$AJ,31,0)," ")</f>
        <v xml:space="preserve"> </v>
      </c>
    </row>
    <row r="70" spans="1:33" ht="93" x14ac:dyDescent="0.25">
      <c r="A70" s="599">
        <f t="shared" si="1"/>
        <v>49</v>
      </c>
      <c r="B70" s="600" t="s">
        <v>492</v>
      </c>
      <c r="C70" s="687">
        <v>93151502</v>
      </c>
      <c r="D70" s="602" t="s">
        <v>214</v>
      </c>
      <c r="E70" s="600" t="s">
        <v>48</v>
      </c>
      <c r="F70" s="600">
        <v>1</v>
      </c>
      <c r="G70" s="603" t="s">
        <v>77</v>
      </c>
      <c r="H70" s="604">
        <v>36</v>
      </c>
      <c r="I70" s="600" t="s">
        <v>305</v>
      </c>
      <c r="J70" s="600" t="s">
        <v>35</v>
      </c>
      <c r="K70" s="600" t="s">
        <v>161</v>
      </c>
      <c r="L70" s="606">
        <v>1169603938.8000002</v>
      </c>
      <c r="M70" s="606">
        <v>32488999</v>
      </c>
      <c r="N70" s="600" t="s">
        <v>49</v>
      </c>
      <c r="O70" s="600" t="s">
        <v>447</v>
      </c>
      <c r="P70" s="600" t="s">
        <v>308</v>
      </c>
      <c r="Q70" s="80"/>
      <c r="R70" s="707" t="str">
        <f>+IFERROR(VLOOKUP($A70,'[4]SEGUIMIENTO CONTRATOS 2018'!$A:$AJ,2,0)," ")</f>
        <v xml:space="preserve"> </v>
      </c>
      <c r="S70" s="707" t="str">
        <f>+IFERROR(VLOOKUP($A70,'[4]SEGUIMIENTO CONTRATOS 2018'!$A:$AJ,3,0)," ")</f>
        <v xml:space="preserve"> </v>
      </c>
      <c r="T70" s="789" t="str">
        <f>+IFERROR(VLOOKUP($A70,'[4]SEGUIMIENTO CONTRATOS 2018'!$A:$AJ,8,0)," ")</f>
        <v xml:space="preserve"> </v>
      </c>
      <c r="U70" s="707" t="str">
        <f>+IFERROR(VLOOKUP($A70,'[4]SEGUIMIENTO CONTRATOS 2018'!$A:$AJ,9,0)," ")</f>
        <v xml:space="preserve"> </v>
      </c>
      <c r="V70" s="707" t="str">
        <f>+IFERROR(VLOOKUP($A70,'[4]SEGUIMIENTO CONTRATOS 2018'!$A:$AJ,11,0)," ")</f>
        <v xml:space="preserve"> </v>
      </c>
      <c r="W70" s="790">
        <f>+IFERROR(VLOOKUP($A70,'[4]SEGUIMIENTO CONTRATOS 2018'!$A:$AJ,13,0),0)</f>
        <v>0</v>
      </c>
      <c r="X70" s="707">
        <f>+IFERROR(VLOOKUP($A70,'[4]SEGUIMIENTO CONTRATOS 2018'!$A:$AJ,14,0),0)</f>
        <v>0</v>
      </c>
      <c r="Y70" s="790">
        <f>+IFERROR(VLOOKUP($A70,'[4]SEGUIMIENTO CONTRATOS 2018'!$A:$AJ,15,0),0)</f>
        <v>0</v>
      </c>
      <c r="Z70" s="790">
        <f>+IFERROR(VLOOKUP($A70,'[4]SEGUIMIENTO CONTRATOS 2018'!$A:$AJ,15,0),0)</f>
        <v>0</v>
      </c>
      <c r="AA70" s="707" t="str">
        <f>+IFERROR(VLOOKUP($A70,'[4]SEGUIMIENTO CONTRATOS 2018'!$A:$AJ,16,0)," ")</f>
        <v xml:space="preserve"> </v>
      </c>
      <c r="AB70" s="707" t="str">
        <f>+IFERROR(VLOOKUP($A70,'[4]SEGUIMIENTO CONTRATOS 2018'!$A:$AL,38,0)," ")</f>
        <v xml:space="preserve"> </v>
      </c>
      <c r="AC70" s="707" t="str">
        <f>+IFERROR(VLOOKUP($A70,'[4]SEGUIMIENTO CONTRATOS 2018'!$A:$AJ,24,0)," ")</f>
        <v xml:space="preserve"> </v>
      </c>
      <c r="AD70" s="789" t="str">
        <f>+IFERROR(VLOOKUP($A70,'[4]SEGUIMIENTO CONTRATOS 2018'!$A:$AJ,25,0)," ")</f>
        <v xml:space="preserve"> </v>
      </c>
      <c r="AE70" s="789" t="str">
        <f>+IFERROR(VLOOKUP($A70,'[4]SEGUIMIENTO CONTRATOS 2018'!$A:$AJ,26,0)," ")</f>
        <v xml:space="preserve"> </v>
      </c>
      <c r="AF70" s="707" t="str">
        <f>+IFERROR(VLOOKUP($A70,'[4]SEGUIMIENTO CONTRATOS 2018'!$A:$AJ,30,0)," ")</f>
        <v xml:space="preserve"> </v>
      </c>
      <c r="AG70" s="707" t="str">
        <f>+IFERROR(VLOOKUP($A70,'[4]SEGUIMIENTO CONTRATOS 2018'!$A:$AJ,31,0)," ")</f>
        <v xml:space="preserve"> </v>
      </c>
    </row>
    <row r="71" spans="1:33" s="750" customFormat="1" ht="147" customHeight="1" x14ac:dyDescent="0.25">
      <c r="A71" s="690">
        <f t="shared" si="1"/>
        <v>50</v>
      </c>
      <c r="B71" s="691" t="s">
        <v>492</v>
      </c>
      <c r="C71" s="692">
        <v>81112006</v>
      </c>
      <c r="D71" s="693" t="s">
        <v>217</v>
      </c>
      <c r="E71" s="691" t="s">
        <v>48</v>
      </c>
      <c r="F71" s="691">
        <v>1</v>
      </c>
      <c r="G71" s="694" t="s">
        <v>80</v>
      </c>
      <c r="H71" s="695">
        <v>12</v>
      </c>
      <c r="I71" s="691" t="s">
        <v>55</v>
      </c>
      <c r="J71" s="691" t="s">
        <v>35</v>
      </c>
      <c r="K71" s="691" t="s">
        <v>216</v>
      </c>
      <c r="L71" s="696">
        <v>4286000</v>
      </c>
      <c r="M71" s="697">
        <v>4286000</v>
      </c>
      <c r="N71" s="691" t="s">
        <v>51</v>
      </c>
      <c r="O71" s="691" t="s">
        <v>36</v>
      </c>
      <c r="P71" s="691" t="s">
        <v>308</v>
      </c>
      <c r="Q71" s="80"/>
      <c r="R71" s="698" t="str">
        <f>+IFERROR(VLOOKUP($A71,'[4]SEGUIMIENTO CONTRATOS 2018'!$A:$AJ,2,0)," ")</f>
        <v>152-2018</v>
      </c>
      <c r="S71" s="698" t="str">
        <f>+IFERROR(VLOOKUP($A71,'[4]SEGUIMIENTO CONTRATOS 2018'!$A:$AJ,3,0)," ")</f>
        <v>TANDEM S.A.S</v>
      </c>
      <c r="T71" s="751">
        <f>+IFERROR(VLOOKUP($A71,'[4]SEGUIMIENTO CONTRATOS 2018'!$A:$AJ,8,0)," ")</f>
        <v>43145</v>
      </c>
      <c r="U71" s="698" t="str">
        <f>+IFERROR(VLOOKUP($A71,'[4]SEGUIMIENTO CONTRATOS 2018'!$A:$AJ,9,0)," ")</f>
        <v>Prestar el servicio de transporte, custodia y almacenamiento externo de los medios magnéticos, que contienen las copias de respaldo de la información de Función Pública, de acuerdo con las especificaciones técnicas establecidas en el presente Documento</v>
      </c>
      <c r="V71" s="698" t="str">
        <f>+IFERROR(VLOOKUP($A71,'[4]SEGUIMIENTO CONTRATOS 2018'!$A:$AJ,11,0)," ")</f>
        <v xml:space="preserve">PRESTACION DE SERVICIOS </v>
      </c>
      <c r="W71" s="752">
        <f>+IFERROR(VLOOKUP($A71,'[4]SEGUIMIENTO CONTRATOS 2018'!$A:$AJ,13,0),0)</f>
        <v>2168614</v>
      </c>
      <c r="X71" s="698">
        <f>+IFERROR(VLOOKUP($A71,'[4]SEGUIMIENTO CONTRATOS 2018'!$A:$AJ,14,0),0)</f>
        <v>0</v>
      </c>
      <c r="Y71" s="752">
        <f>+IFERROR(VLOOKUP($A71,'[4]SEGUIMIENTO CONTRATOS 2018'!$A:$AJ,15,0),0)</f>
        <v>2168614</v>
      </c>
      <c r="Z71" s="752">
        <f>+IFERROR(VLOOKUP($A71,'[4]SEGUIMIENTO CONTRATOS 2018'!$A:$AJ,15,0),0)</f>
        <v>2168614</v>
      </c>
      <c r="AA71" s="698" t="str">
        <f>+IFERROR(VLOOKUP($A71,'[4]SEGUIMIENTO CONTRATOS 2018'!$A:$AJ,16,0)," ")</f>
        <v>Cinco (5) pagos bimensuales de acuerdo con los servicios efectivamente prestados y un último pago por el mes restante acorde con los servicios efectivamente prestados, incluido IVA y demás gastos asociados, previa presentación de la factura, y la expedición del certificado de recibido a satisfacción por parte del Supervisor del Contrato, sin que el monto total de los servicios pueda exceder la cuantía total del mismo.</v>
      </c>
      <c r="AB71" s="698" t="str">
        <f>+IFERROR(VLOOKUP($A71,'[4]SEGUIMIENTO CONTRATOS 2018'!$A:$AL,38,0)," ")</f>
        <v>18418</v>
      </c>
      <c r="AC71" s="698" t="str">
        <f>+IFERROR(VLOOKUP($A71,'[4]SEGUIMIENTO CONTRATOS 2018'!$A:$AJ,24,0)," ")</f>
        <v xml:space="preserve">Hasta el veintiocho (28) de diciembre de 2018, contado a partir del perfeccionamiento del mismo, previo registro presupuestal y aprobación de pólizas. </v>
      </c>
      <c r="AD71" s="751">
        <f>+IFERROR(VLOOKUP($A71,'[4]SEGUIMIENTO CONTRATOS 2018'!$A:$AJ,25,0)," ")</f>
        <v>43146</v>
      </c>
      <c r="AE71" s="751">
        <f>+IFERROR(VLOOKUP($A71,'[4]SEGUIMIENTO CONTRATOS 2018'!$A:$AJ,26,0)," ")</f>
        <v>43462</v>
      </c>
      <c r="AF71" s="698" t="str">
        <f>+IFERROR(VLOOKUP($A71,'[4]SEGUIMIENTO CONTRATOS 2018'!$A:$AJ,30,0)," ")</f>
        <v xml:space="preserve">ANA YISED CASTRO ORTIZ </v>
      </c>
      <c r="AG71" s="698" t="str">
        <f>+IFERROR(VLOOKUP($A71,'[4]SEGUIMIENTO CONTRATOS 2018'!$A:$AJ,31,0)," ")</f>
        <v xml:space="preserve">OFICINA DE TECNOLOGIAS DE LA INFORMACION Y LAS COMUNICACIONES </v>
      </c>
    </row>
    <row r="72" spans="1:33" ht="93" x14ac:dyDescent="0.25">
      <c r="A72" s="748">
        <f t="shared" si="1"/>
        <v>51</v>
      </c>
      <c r="B72" s="600" t="s">
        <v>492</v>
      </c>
      <c r="C72" s="687">
        <v>43233004</v>
      </c>
      <c r="D72" s="602" t="s">
        <v>277</v>
      </c>
      <c r="E72" s="600" t="s">
        <v>48</v>
      </c>
      <c r="F72" s="600">
        <v>1</v>
      </c>
      <c r="G72" s="683" t="s">
        <v>78</v>
      </c>
      <c r="H72" s="604">
        <v>12</v>
      </c>
      <c r="I72" s="600" t="s">
        <v>285</v>
      </c>
      <c r="J72" s="600" t="s">
        <v>66</v>
      </c>
      <c r="K72" s="600" t="s">
        <v>585</v>
      </c>
      <c r="L72" s="605">
        <v>44044250.800000004</v>
      </c>
      <c r="M72" s="606">
        <v>44044251</v>
      </c>
      <c r="N72" s="600" t="s">
        <v>51</v>
      </c>
      <c r="O72" s="600" t="s">
        <v>36</v>
      </c>
      <c r="P72" s="600" t="s">
        <v>308</v>
      </c>
      <c r="Q72" s="80"/>
      <c r="R72" s="707" t="str">
        <f>+IFERROR(VLOOKUP($A72,'[4]SEGUIMIENTO CONTRATOS 2018'!$A:$AJ,2,0)," ")</f>
        <v xml:space="preserve"> </v>
      </c>
      <c r="S72" s="707" t="str">
        <f>+IFERROR(VLOOKUP($A72,'[4]SEGUIMIENTO CONTRATOS 2018'!$A:$AJ,3,0)," ")</f>
        <v xml:space="preserve"> </v>
      </c>
      <c r="T72" s="789" t="str">
        <f>+IFERROR(VLOOKUP($A72,'[4]SEGUIMIENTO CONTRATOS 2018'!$A:$AJ,8,0)," ")</f>
        <v xml:space="preserve"> </v>
      </c>
      <c r="U72" s="707" t="str">
        <f>+IFERROR(VLOOKUP($A72,'[4]SEGUIMIENTO CONTRATOS 2018'!$A:$AJ,9,0)," ")</f>
        <v xml:space="preserve"> </v>
      </c>
      <c r="V72" s="707" t="str">
        <f>+IFERROR(VLOOKUP($A72,'[4]SEGUIMIENTO CONTRATOS 2018'!$A:$AJ,11,0)," ")</f>
        <v xml:space="preserve"> </v>
      </c>
      <c r="W72" s="790">
        <f>+IFERROR(VLOOKUP($A72,'[4]SEGUIMIENTO CONTRATOS 2018'!$A:$AJ,13,0),0)</f>
        <v>0</v>
      </c>
      <c r="X72" s="707">
        <f>+IFERROR(VLOOKUP($A72,'[4]SEGUIMIENTO CONTRATOS 2018'!$A:$AJ,14,0),0)</f>
        <v>0</v>
      </c>
      <c r="Y72" s="790">
        <f>+IFERROR(VLOOKUP($A72,'[4]SEGUIMIENTO CONTRATOS 2018'!$A:$AJ,15,0),0)</f>
        <v>0</v>
      </c>
      <c r="Z72" s="790">
        <f>+IFERROR(VLOOKUP($A72,'[4]SEGUIMIENTO CONTRATOS 2018'!$A:$AJ,15,0),0)</f>
        <v>0</v>
      </c>
      <c r="AA72" s="707" t="str">
        <f>+IFERROR(VLOOKUP($A72,'[4]SEGUIMIENTO CONTRATOS 2018'!$A:$AJ,16,0)," ")</f>
        <v xml:space="preserve"> </v>
      </c>
      <c r="AB72" s="707" t="str">
        <f>+IFERROR(VLOOKUP($A72,'[4]SEGUIMIENTO CONTRATOS 2018'!$A:$AL,38,0)," ")</f>
        <v xml:space="preserve"> </v>
      </c>
      <c r="AC72" s="707" t="str">
        <f>+IFERROR(VLOOKUP($A72,'[4]SEGUIMIENTO CONTRATOS 2018'!$A:$AJ,24,0)," ")</f>
        <v xml:space="preserve"> </v>
      </c>
      <c r="AD72" s="789" t="str">
        <f>+IFERROR(VLOOKUP($A72,'[4]SEGUIMIENTO CONTRATOS 2018'!$A:$AJ,25,0)," ")</f>
        <v xml:space="preserve"> </v>
      </c>
      <c r="AE72" s="789" t="str">
        <f>+IFERROR(VLOOKUP($A72,'[4]SEGUIMIENTO CONTRATOS 2018'!$A:$AJ,26,0)," ")</f>
        <v xml:space="preserve"> </v>
      </c>
      <c r="AF72" s="707" t="str">
        <f>+IFERROR(VLOOKUP($A72,'[4]SEGUIMIENTO CONTRATOS 2018'!$A:$AJ,30,0)," ")</f>
        <v xml:space="preserve"> </v>
      </c>
      <c r="AG72" s="707" t="str">
        <f>+IFERROR(VLOOKUP($A72,'[4]SEGUIMIENTO CONTRATOS 2018'!$A:$AJ,31,0)," ")</f>
        <v xml:space="preserve"> </v>
      </c>
    </row>
    <row r="73" spans="1:33" ht="214.5" x14ac:dyDescent="0.25">
      <c r="A73" s="690">
        <f t="shared" si="1"/>
        <v>52</v>
      </c>
      <c r="B73" s="691" t="s">
        <v>492</v>
      </c>
      <c r="C73" s="692">
        <v>80101706</v>
      </c>
      <c r="D73" s="693" t="s">
        <v>603</v>
      </c>
      <c r="E73" s="691" t="s">
        <v>48</v>
      </c>
      <c r="F73" s="691">
        <v>1</v>
      </c>
      <c r="G73" s="694" t="s">
        <v>73</v>
      </c>
      <c r="H73" s="695">
        <v>12</v>
      </c>
      <c r="I73" s="691" t="s">
        <v>173</v>
      </c>
      <c r="J73" s="691" t="s">
        <v>66</v>
      </c>
      <c r="K73" s="691" t="s">
        <v>585</v>
      </c>
      <c r="L73" s="696">
        <v>232816852</v>
      </c>
      <c r="M73" s="696">
        <v>232816852</v>
      </c>
      <c r="N73" s="691" t="s">
        <v>51</v>
      </c>
      <c r="O73" s="691" t="s">
        <v>36</v>
      </c>
      <c r="P73" s="691" t="s">
        <v>308</v>
      </c>
      <c r="Q73" s="80"/>
      <c r="R73" s="698" t="str">
        <f>+IFERROR(VLOOKUP($A73,'[4]SEGUIMIENTO CONTRATOS 2018'!$A:$AJ,2,0)," ")</f>
        <v>153-2018</v>
      </c>
      <c r="S73" s="698" t="str">
        <f>+IFERROR(VLOOKUP($A73,'[4]SEGUIMIENTO CONTRATOS 2018'!$A:$AJ,3,0)," ")</f>
        <v>UT SOFT-IG</v>
      </c>
      <c r="T73" s="751">
        <f>+IFERROR(VLOOKUP($A73,'[4]SEGUIMIENTO CONTRATOS 2018'!$A:$AJ,8,0)," ")</f>
        <v>43147</v>
      </c>
      <c r="U73" s="698" t="str">
        <f>+IFERROR(VLOOKUP($A73,'[4]SEGUIMIENTO CONTRATOS 2018'!$A:$AJ,9,0)," ")</f>
        <v>Adquirir la suscripcion, configuración, parametrización, soporte técnico y transferencia de conocimientos , del licenciamiento de la herramienta Dynamics CRM (Customer Relationship Management) de Microsoft, según las características señaladas en el anexo técnico.</v>
      </c>
      <c r="V73" s="698" t="str">
        <f>+IFERROR(VLOOKUP($A73,'[4]SEGUIMIENTO CONTRATOS 2018'!$A:$AJ,11,0)," ")</f>
        <v>CONTRATO DE COMPRAVENTA</v>
      </c>
      <c r="W73" s="752">
        <f>+IFERROR(VLOOKUP($A73,'[4]SEGUIMIENTO CONTRATOS 2018'!$A:$AJ,13,0),0)</f>
        <v>222359431.53</v>
      </c>
      <c r="X73" s="698">
        <f>+IFERROR(VLOOKUP($A73,'[4]SEGUIMIENTO CONTRATOS 2018'!$A:$AJ,14,0),0)</f>
        <v>0</v>
      </c>
      <c r="Y73" s="752">
        <f>+IFERROR(VLOOKUP($A73,'[4]SEGUIMIENTO CONTRATOS 2018'!$A:$AJ,15,0),0)</f>
        <v>222359431.53</v>
      </c>
      <c r="Z73" s="752">
        <f>+IFERROR(VLOOKUP($A73,'[4]SEGUIMIENTO CONTRATOS 2018'!$A:$AJ,15,0),0)</f>
        <v>222359431.53</v>
      </c>
      <c r="AA73" s="698" t="str">
        <f>+IFERROR(VLOOKUP($A73,'[4]SEGUIMIENTO CONTRATOS 2018'!$A:$AJ,16,0)," ")</f>
        <v>Función Pública pagará el valor del contrato de la siguiente forma: a) Un primer pago, equivalente al valor de la renovación del licenciamiento, de la herramienta Dynamics CRM (Customer Re/ationship Management) de Microsoft, el cual se cancelará a la entrega del mismo, y b) El saldo correspondiente al valor de los servicios de configuración, parametrización, soporte técnico y transferencia de conocimientos, del licenciamiento de la herramienta Dynamics  CRM  (Customer  Relationship Management) de Microsoft, de manera proporcional en mensualidades vencidas acorde con los servicios recibidos, respecto de las horas efectivamente utilizadas en cada mes.</v>
      </c>
      <c r="AB73" s="698" t="str">
        <f>+IFERROR(VLOOKUP($A73,'[4]SEGUIMIENTO CONTRATOS 2018'!$A:$AL,38,0)," ")</f>
        <v>19018</v>
      </c>
      <c r="AC73" s="698" t="str">
        <f>+IFERROR(VLOOKUP($A73,'[4]SEGUIMIENTO CONTRATOS 2018'!$A:$AJ,24,0)," ")</f>
        <v>Un (1) año, contado  a  partir  del perfeccionamiento del mismo y registro presupuesta!.</v>
      </c>
      <c r="AD73" s="751">
        <f>+IFERROR(VLOOKUP($A73,'[4]SEGUIMIENTO CONTRATOS 2018'!$A:$AJ,25,0)," ")</f>
        <v>43147</v>
      </c>
      <c r="AE73" s="751">
        <f>+IFERROR(VLOOKUP($A73,'[4]SEGUIMIENTO CONTRATOS 2018'!$A:$AJ,26,0)," ")</f>
        <v>43511</v>
      </c>
      <c r="AF73" s="698" t="str">
        <f>+IFERROR(VLOOKUP($A73,'[4]SEGUIMIENTO CONTRATOS 2018'!$A:$AJ,30,0)," ")</f>
        <v>HECTOR JULIO MELO OCAMPO</v>
      </c>
      <c r="AG73" s="698" t="str">
        <f>+IFERROR(VLOOKUP($A73,'[4]SEGUIMIENTO CONTRATOS 2018'!$A:$AJ,31,0)," ")</f>
        <v xml:space="preserve">OFICINA DE TECNOLOGIAS DE LA INFORMACION Y LAS COMUNICACIONES </v>
      </c>
    </row>
    <row r="74" spans="1:33" ht="117" x14ac:dyDescent="0.25">
      <c r="A74" s="690">
        <f t="shared" si="1"/>
        <v>53</v>
      </c>
      <c r="B74" s="691" t="s">
        <v>235</v>
      </c>
      <c r="C74" s="692">
        <v>80101706</v>
      </c>
      <c r="D74" s="693" t="s">
        <v>543</v>
      </c>
      <c r="E74" s="691" t="s">
        <v>48</v>
      </c>
      <c r="F74" s="691">
        <v>1</v>
      </c>
      <c r="G74" s="694" t="s">
        <v>73</v>
      </c>
      <c r="H74" s="695">
        <v>5</v>
      </c>
      <c r="I74" s="691" t="s">
        <v>61</v>
      </c>
      <c r="J74" s="691" t="s">
        <v>66</v>
      </c>
      <c r="K74" s="691" t="s">
        <v>475</v>
      </c>
      <c r="L74" s="696">
        <v>25040000</v>
      </c>
      <c r="M74" s="697">
        <v>25040000</v>
      </c>
      <c r="N74" s="691" t="s">
        <v>51</v>
      </c>
      <c r="O74" s="691" t="s">
        <v>36</v>
      </c>
      <c r="P74" s="691" t="s">
        <v>501</v>
      </c>
      <c r="Q74" s="80"/>
      <c r="R74" s="698" t="str">
        <f>+IFERROR(VLOOKUP($A74,'[4]SEGUIMIENTO CONTRATOS 2018'!$A:$AJ,2,0)," ")</f>
        <v>018-2018</v>
      </c>
      <c r="S74" s="698" t="str">
        <f>+IFERROR(VLOOKUP($A74,'[4]SEGUIMIENTO CONTRATOS 2018'!$A:$AJ,3,0)," ")</f>
        <v>DIANA MARITZA BUENHOMBRE GUERRERO</v>
      </c>
      <c r="T74" s="751">
        <f>+IFERROR(VLOOKUP($A74,'[4]SEGUIMIENTO CONTRATOS 2018'!$A:$AJ,8,0)," ")</f>
        <v>43109</v>
      </c>
      <c r="U74" s="698" t="str">
        <f>+IFERROR(VLOOKUP($A74,'[4]SEGUIMIENTO CONTRATOS 2018'!$A:$AJ,9,0)," ")</f>
        <v>Prestar servicios profesionales en la Oficina Asesora de Planeación de Función Pública para apoyar la articulación del Sistema Integrado de Gestión de la Entidad con el Modelo Integrado de Planeación y Gestión (MIPG).</v>
      </c>
      <c r="V74" s="698" t="str">
        <f>+IFERROR(VLOOKUP($A74,'[4]SEGUIMIENTO CONTRATOS 2018'!$A:$AJ,11,0)," ")</f>
        <v>PRESTACION DE SERVICIOS PROFESIONALES</v>
      </c>
      <c r="W74" s="752">
        <f>+IFERROR(VLOOKUP($A74,'[4]SEGUIMIENTO CONTRATOS 2018'!$A:$AJ,13,0),0)</f>
        <v>25040000</v>
      </c>
      <c r="X74" s="698">
        <f>+IFERROR(VLOOKUP($A74,'[4]SEGUIMIENTO CONTRATOS 2018'!$A:$AJ,14,0),0)</f>
        <v>0</v>
      </c>
      <c r="Y74" s="752">
        <f>+IFERROR(VLOOKUP($A74,'[4]SEGUIMIENTO CONTRATOS 2018'!$A:$AJ,15,0),0)</f>
        <v>25040000</v>
      </c>
      <c r="Z74" s="752">
        <f>+IFERROR(VLOOKUP($A74,'[4]SEGUIMIENTO CONTRATOS 2018'!$A:$AJ,15,0),0)</f>
        <v>25040000</v>
      </c>
      <c r="AA74" s="698" t="str">
        <f>+IFERROR(VLOOKUP($A74,'[4]SEGUIMIENTO CONTRATOS 2018'!$A:$AJ,16,0)," ")</f>
        <v>Cinco (5) mensualidades vencidas, cada una por valor de CINCO MILLONES OCHO MIL PESOS ($5.008.000) M/CTE</v>
      </c>
      <c r="AB74" s="698" t="str">
        <f>+IFERROR(VLOOKUP($A74,'[4]SEGUIMIENTO CONTRATOS 2018'!$A:$AL,38,0)," ")</f>
        <v xml:space="preserve">2318 </v>
      </c>
      <c r="AC74" s="698" t="str">
        <f>+IFERROR(VLOOKUP($A74,'[4]SEGUIMIENTO CONTRATOS 2018'!$A:$AJ,24,0)," ")</f>
        <v>Cinco (05) meses, contado a partir del perfeccionamiento del mismo y registro presupuestal.</v>
      </c>
      <c r="AD74" s="751">
        <f>+IFERROR(VLOOKUP($A74,'[4]SEGUIMIENTO CONTRATOS 2018'!$A:$AJ,25,0)," ")</f>
        <v>43110</v>
      </c>
      <c r="AE74" s="751">
        <f>+IFERROR(VLOOKUP($A74,'[4]SEGUIMIENTO CONTRATOS 2018'!$A:$AJ,26,0)," ")</f>
        <v>43260</v>
      </c>
      <c r="AF74" s="698" t="str">
        <f>+IFERROR(VLOOKUP($A74,'[4]SEGUIMIENTO CONTRATOS 2018'!$A:$AJ,30,0)," ")</f>
        <v xml:space="preserve">OLGA LUCÍA ARANGO  </v>
      </c>
      <c r="AG74" s="698" t="str">
        <f>+IFERROR(VLOOKUP($A74,'[4]SEGUIMIENTO CONTRATOS 2018'!$A:$AJ,31,0)," ")</f>
        <v>OFICINA ASESORA DE PLANEACION</v>
      </c>
    </row>
    <row r="75" spans="1:33" ht="118.5" customHeight="1" x14ac:dyDescent="0.25">
      <c r="A75" s="748">
        <f t="shared" si="1"/>
        <v>54</v>
      </c>
      <c r="B75" s="600" t="s">
        <v>492</v>
      </c>
      <c r="C75" s="607" t="s">
        <v>1230</v>
      </c>
      <c r="D75" s="602" t="s">
        <v>69</v>
      </c>
      <c r="E75" s="600" t="s">
        <v>68</v>
      </c>
      <c r="F75" s="600">
        <v>1</v>
      </c>
      <c r="G75" s="603" t="s">
        <v>80</v>
      </c>
      <c r="H75" s="604">
        <v>12</v>
      </c>
      <c r="I75" s="600" t="s">
        <v>285</v>
      </c>
      <c r="J75" s="600" t="s">
        <v>66</v>
      </c>
      <c r="K75" s="600" t="s">
        <v>585</v>
      </c>
      <c r="L75" s="637">
        <v>177663966</v>
      </c>
      <c r="M75" s="638">
        <v>177663966</v>
      </c>
      <c r="N75" s="600" t="s">
        <v>51</v>
      </c>
      <c r="O75" s="600" t="s">
        <v>36</v>
      </c>
      <c r="P75" s="600" t="s">
        <v>308</v>
      </c>
      <c r="Q75" s="80"/>
      <c r="R75" s="707" t="str">
        <f>+IFERROR(VLOOKUP($A75,'[4]SEGUIMIENTO CONTRATOS 2018'!$A:$AJ,2,0)," ")</f>
        <v xml:space="preserve"> </v>
      </c>
      <c r="S75" s="707" t="str">
        <f>+IFERROR(VLOOKUP($A75,'[4]SEGUIMIENTO CONTRATOS 2018'!$A:$AJ,3,0)," ")</f>
        <v xml:space="preserve"> </v>
      </c>
      <c r="T75" s="789" t="str">
        <f>+IFERROR(VLOOKUP($A75,'[4]SEGUIMIENTO CONTRATOS 2018'!$A:$AJ,8,0)," ")</f>
        <v xml:space="preserve"> </v>
      </c>
      <c r="U75" s="707" t="str">
        <f>+IFERROR(VLOOKUP($A75,'[4]SEGUIMIENTO CONTRATOS 2018'!$A:$AJ,9,0)," ")</f>
        <v xml:space="preserve"> </v>
      </c>
      <c r="V75" s="707" t="str">
        <f>+IFERROR(VLOOKUP($A75,'[4]SEGUIMIENTO CONTRATOS 2018'!$A:$AJ,11,0)," ")</f>
        <v xml:space="preserve"> </v>
      </c>
      <c r="W75" s="790">
        <f>+IFERROR(VLOOKUP($A75,'[4]SEGUIMIENTO CONTRATOS 2018'!$A:$AJ,13,0),0)</f>
        <v>0</v>
      </c>
      <c r="X75" s="707">
        <f>+IFERROR(VLOOKUP($A75,'[4]SEGUIMIENTO CONTRATOS 2018'!$A:$AJ,14,0),0)</f>
        <v>0</v>
      </c>
      <c r="Y75" s="790">
        <f>+IFERROR(VLOOKUP($A75,'[4]SEGUIMIENTO CONTRATOS 2018'!$A:$AJ,15,0),0)</f>
        <v>0</v>
      </c>
      <c r="Z75" s="790">
        <f>+IFERROR(VLOOKUP($A75,'[4]SEGUIMIENTO CONTRATOS 2018'!$A:$AJ,15,0),0)</f>
        <v>0</v>
      </c>
      <c r="AA75" s="707" t="str">
        <f>+IFERROR(VLOOKUP($A75,'[4]SEGUIMIENTO CONTRATOS 2018'!$A:$AJ,16,0)," ")</f>
        <v xml:space="preserve"> </v>
      </c>
      <c r="AB75" s="707" t="str">
        <f>+IFERROR(VLOOKUP($A75,'[4]SEGUIMIENTO CONTRATOS 2018'!$A:$AL,38,0)," ")</f>
        <v xml:space="preserve"> </v>
      </c>
      <c r="AC75" s="707" t="str">
        <f>+IFERROR(VLOOKUP($A75,'[4]SEGUIMIENTO CONTRATOS 2018'!$A:$AJ,24,0)," ")</f>
        <v xml:space="preserve"> </v>
      </c>
      <c r="AD75" s="789" t="str">
        <f>+IFERROR(VLOOKUP($A75,'[4]SEGUIMIENTO CONTRATOS 2018'!$A:$AJ,25,0)," ")</f>
        <v xml:space="preserve"> </v>
      </c>
      <c r="AE75" s="789" t="str">
        <f>+IFERROR(VLOOKUP($A75,'[4]SEGUIMIENTO CONTRATOS 2018'!$A:$AJ,26,0)," ")</f>
        <v xml:space="preserve"> </v>
      </c>
      <c r="AF75" s="707" t="str">
        <f>+IFERROR(VLOOKUP($A75,'[4]SEGUIMIENTO CONTRATOS 2018'!$A:$AJ,30,0)," ")</f>
        <v xml:space="preserve"> </v>
      </c>
      <c r="AG75" s="707" t="str">
        <f>+IFERROR(VLOOKUP($A75,'[4]SEGUIMIENTO CONTRATOS 2018'!$A:$AJ,31,0)," ")</f>
        <v xml:space="preserve"> </v>
      </c>
    </row>
    <row r="76" spans="1:33" ht="117.6" customHeight="1" x14ac:dyDescent="0.25">
      <c r="A76" s="748">
        <f t="shared" si="1"/>
        <v>55</v>
      </c>
      <c r="B76" s="600" t="s">
        <v>492</v>
      </c>
      <c r="C76" s="687">
        <v>93151502</v>
      </c>
      <c r="D76" s="686" t="s">
        <v>1229</v>
      </c>
      <c r="E76" s="600" t="s">
        <v>68</v>
      </c>
      <c r="F76" s="600">
        <v>1</v>
      </c>
      <c r="G76" s="683" t="s">
        <v>81</v>
      </c>
      <c r="H76" s="684" t="s">
        <v>662</v>
      </c>
      <c r="I76" s="600" t="s">
        <v>285</v>
      </c>
      <c r="J76" s="600" t="s">
        <v>66</v>
      </c>
      <c r="K76" s="600" t="s">
        <v>585</v>
      </c>
      <c r="L76" s="637">
        <v>252535187</v>
      </c>
      <c r="M76" s="638">
        <v>252535187</v>
      </c>
      <c r="N76" s="600" t="s">
        <v>51</v>
      </c>
      <c r="O76" s="600" t="s">
        <v>36</v>
      </c>
      <c r="P76" s="600" t="s">
        <v>308</v>
      </c>
      <c r="Q76" s="80"/>
      <c r="R76" s="707" t="str">
        <f>+IFERROR(VLOOKUP($A76,'[4]SEGUIMIENTO CONTRATOS 2018'!$A:$AJ,2,0)," ")</f>
        <v xml:space="preserve"> </v>
      </c>
      <c r="S76" s="707" t="str">
        <f>+IFERROR(VLOOKUP($A76,'[4]SEGUIMIENTO CONTRATOS 2018'!$A:$AJ,3,0)," ")</f>
        <v xml:space="preserve"> </v>
      </c>
      <c r="T76" s="789" t="str">
        <f>+IFERROR(VLOOKUP($A76,'[4]SEGUIMIENTO CONTRATOS 2018'!$A:$AJ,8,0)," ")</f>
        <v xml:space="preserve"> </v>
      </c>
      <c r="U76" s="707" t="str">
        <f>+IFERROR(VLOOKUP($A76,'[4]SEGUIMIENTO CONTRATOS 2018'!$A:$AJ,9,0)," ")</f>
        <v xml:space="preserve"> </v>
      </c>
      <c r="V76" s="707" t="str">
        <f>+IFERROR(VLOOKUP($A76,'[4]SEGUIMIENTO CONTRATOS 2018'!$A:$AJ,11,0)," ")</f>
        <v xml:space="preserve"> </v>
      </c>
      <c r="W76" s="790">
        <f>+IFERROR(VLOOKUP($A76,'[4]SEGUIMIENTO CONTRATOS 2018'!$A:$AJ,13,0),0)</f>
        <v>0</v>
      </c>
      <c r="X76" s="707">
        <f>+IFERROR(VLOOKUP($A76,'[4]SEGUIMIENTO CONTRATOS 2018'!$A:$AJ,14,0),0)</f>
        <v>0</v>
      </c>
      <c r="Y76" s="790">
        <f>+IFERROR(VLOOKUP($A76,'[4]SEGUIMIENTO CONTRATOS 2018'!$A:$AJ,15,0),0)</f>
        <v>0</v>
      </c>
      <c r="Z76" s="790">
        <f>+IFERROR(VLOOKUP($A76,'[4]SEGUIMIENTO CONTRATOS 2018'!$A:$AJ,15,0),0)</f>
        <v>0</v>
      </c>
      <c r="AA76" s="707" t="str">
        <f>+IFERROR(VLOOKUP($A76,'[4]SEGUIMIENTO CONTRATOS 2018'!$A:$AJ,16,0)," ")</f>
        <v xml:space="preserve"> </v>
      </c>
      <c r="AB76" s="707" t="str">
        <f>+IFERROR(VLOOKUP($A76,'[4]SEGUIMIENTO CONTRATOS 2018'!$A:$AL,38,0)," ")</f>
        <v xml:space="preserve"> </v>
      </c>
      <c r="AC76" s="707" t="str">
        <f>+IFERROR(VLOOKUP($A76,'[4]SEGUIMIENTO CONTRATOS 2018'!$A:$AJ,24,0)," ")</f>
        <v xml:space="preserve"> </v>
      </c>
      <c r="AD76" s="789" t="str">
        <f>+IFERROR(VLOOKUP($A76,'[4]SEGUIMIENTO CONTRATOS 2018'!$A:$AJ,25,0)," ")</f>
        <v xml:space="preserve"> </v>
      </c>
      <c r="AE76" s="789" t="str">
        <f>+IFERROR(VLOOKUP($A76,'[4]SEGUIMIENTO CONTRATOS 2018'!$A:$AJ,26,0)," ")</f>
        <v xml:space="preserve"> </v>
      </c>
      <c r="AF76" s="707" t="str">
        <f>+IFERROR(VLOOKUP($A76,'[4]SEGUIMIENTO CONTRATOS 2018'!$A:$AJ,30,0)," ")</f>
        <v xml:space="preserve"> </v>
      </c>
      <c r="AG76" s="707" t="str">
        <f>+IFERROR(VLOOKUP($A76,'[4]SEGUIMIENTO CONTRATOS 2018'!$A:$AJ,31,0)," ")</f>
        <v xml:space="preserve"> </v>
      </c>
    </row>
    <row r="77" spans="1:33" ht="93" x14ac:dyDescent="0.25">
      <c r="A77" s="599">
        <f t="shared" si="1"/>
        <v>56</v>
      </c>
      <c r="B77" s="600" t="s">
        <v>492</v>
      </c>
      <c r="C77" s="687">
        <v>80101706</v>
      </c>
      <c r="D77" s="602" t="s">
        <v>82</v>
      </c>
      <c r="E77" s="600" t="s">
        <v>68</v>
      </c>
      <c r="F77" s="600">
        <v>1</v>
      </c>
      <c r="G77" s="603" t="s">
        <v>77</v>
      </c>
      <c r="H77" s="604" t="s">
        <v>194</v>
      </c>
      <c r="I77" s="600" t="s">
        <v>61</v>
      </c>
      <c r="J77" s="600" t="s">
        <v>66</v>
      </c>
      <c r="K77" s="600" t="s">
        <v>585</v>
      </c>
      <c r="L77" s="605">
        <v>44067420</v>
      </c>
      <c r="M77" s="606">
        <v>44067420</v>
      </c>
      <c r="N77" s="600" t="s">
        <v>51</v>
      </c>
      <c r="O77" s="600" t="s">
        <v>36</v>
      </c>
      <c r="P77" s="600" t="s">
        <v>308</v>
      </c>
      <c r="Q77" s="80"/>
      <c r="R77" s="707" t="str">
        <f>+IFERROR(VLOOKUP($A77,'[4]SEGUIMIENTO CONTRATOS 2018'!$A:$AJ,2,0)," ")</f>
        <v xml:space="preserve"> </v>
      </c>
      <c r="S77" s="707" t="str">
        <f>+IFERROR(VLOOKUP($A77,'[4]SEGUIMIENTO CONTRATOS 2018'!$A:$AJ,3,0)," ")</f>
        <v xml:space="preserve"> </v>
      </c>
      <c r="T77" s="789" t="str">
        <f>+IFERROR(VLOOKUP($A77,'[4]SEGUIMIENTO CONTRATOS 2018'!$A:$AJ,8,0)," ")</f>
        <v xml:space="preserve"> </v>
      </c>
      <c r="U77" s="707" t="str">
        <f>+IFERROR(VLOOKUP($A77,'[4]SEGUIMIENTO CONTRATOS 2018'!$A:$AJ,9,0)," ")</f>
        <v xml:space="preserve"> </v>
      </c>
      <c r="V77" s="707" t="str">
        <f>+IFERROR(VLOOKUP($A77,'[4]SEGUIMIENTO CONTRATOS 2018'!$A:$AJ,11,0)," ")</f>
        <v xml:space="preserve"> </v>
      </c>
      <c r="W77" s="790">
        <f>+IFERROR(VLOOKUP($A77,'[4]SEGUIMIENTO CONTRATOS 2018'!$A:$AJ,13,0),0)</f>
        <v>0</v>
      </c>
      <c r="X77" s="707">
        <f>+IFERROR(VLOOKUP($A77,'[4]SEGUIMIENTO CONTRATOS 2018'!$A:$AJ,14,0),0)</f>
        <v>0</v>
      </c>
      <c r="Y77" s="790">
        <f>+IFERROR(VLOOKUP($A77,'[4]SEGUIMIENTO CONTRATOS 2018'!$A:$AJ,15,0),0)</f>
        <v>0</v>
      </c>
      <c r="Z77" s="790">
        <f>+IFERROR(VLOOKUP($A77,'[4]SEGUIMIENTO CONTRATOS 2018'!$A:$AJ,15,0),0)</f>
        <v>0</v>
      </c>
      <c r="AA77" s="707" t="str">
        <f>+IFERROR(VLOOKUP($A77,'[4]SEGUIMIENTO CONTRATOS 2018'!$A:$AJ,16,0)," ")</f>
        <v xml:space="preserve"> </v>
      </c>
      <c r="AB77" s="707" t="str">
        <f>+IFERROR(VLOOKUP($A77,'[4]SEGUIMIENTO CONTRATOS 2018'!$A:$AL,38,0)," ")</f>
        <v xml:space="preserve"> </v>
      </c>
      <c r="AC77" s="707" t="str">
        <f>+IFERROR(VLOOKUP($A77,'[4]SEGUIMIENTO CONTRATOS 2018'!$A:$AJ,24,0)," ")</f>
        <v xml:space="preserve"> </v>
      </c>
      <c r="AD77" s="789" t="str">
        <f>+IFERROR(VLOOKUP($A77,'[4]SEGUIMIENTO CONTRATOS 2018'!$A:$AJ,25,0)," ")</f>
        <v xml:space="preserve"> </v>
      </c>
      <c r="AE77" s="789" t="str">
        <f>+IFERROR(VLOOKUP($A77,'[4]SEGUIMIENTO CONTRATOS 2018'!$A:$AJ,26,0)," ")</f>
        <v xml:space="preserve"> </v>
      </c>
      <c r="AF77" s="707" t="str">
        <f>+IFERROR(VLOOKUP($A77,'[4]SEGUIMIENTO CONTRATOS 2018'!$A:$AJ,30,0)," ")</f>
        <v xml:space="preserve"> </v>
      </c>
      <c r="AG77" s="707" t="str">
        <f>+IFERROR(VLOOKUP($A77,'[4]SEGUIMIENTO CONTRATOS 2018'!$A:$AJ,31,0)," ")</f>
        <v xml:space="preserve"> </v>
      </c>
    </row>
    <row r="78" spans="1:33" ht="117" x14ac:dyDescent="0.25">
      <c r="A78" s="690">
        <f t="shared" si="1"/>
        <v>57</v>
      </c>
      <c r="B78" s="691" t="s">
        <v>265</v>
      </c>
      <c r="C78" s="692">
        <v>80101706</v>
      </c>
      <c r="D78" s="693" t="s">
        <v>503</v>
      </c>
      <c r="E78" s="691" t="s">
        <v>48</v>
      </c>
      <c r="F78" s="691">
        <v>1</v>
      </c>
      <c r="G78" s="694" t="s">
        <v>73</v>
      </c>
      <c r="H78" s="695">
        <v>5</v>
      </c>
      <c r="I78" s="691" t="s">
        <v>61</v>
      </c>
      <c r="J78" s="691" t="s">
        <v>66</v>
      </c>
      <c r="K78" s="691" t="s">
        <v>475</v>
      </c>
      <c r="L78" s="696">
        <v>19475000</v>
      </c>
      <c r="M78" s="697">
        <v>19475000</v>
      </c>
      <c r="N78" s="691" t="s">
        <v>51</v>
      </c>
      <c r="O78" s="691" t="s">
        <v>36</v>
      </c>
      <c r="P78" s="691" t="s">
        <v>504</v>
      </c>
      <c r="Q78" s="80"/>
      <c r="R78" s="698" t="str">
        <f>+IFERROR(VLOOKUP($A78,'[4]SEGUIMIENTO CONTRATOS 2018'!$A:$AJ,2,0)," ")</f>
        <v>007-2018</v>
      </c>
      <c r="S78" s="698" t="str">
        <f>+IFERROR(VLOOKUP($A78,'[4]SEGUIMIENTO CONTRATOS 2018'!$A:$AJ,3,0)," ")</f>
        <v>CARLOS EDUARDO HERNANDEZ VALDEBLANQUEZ</v>
      </c>
      <c r="T78" s="751">
        <f>+IFERROR(VLOOKUP($A78,'[4]SEGUIMIENTO CONTRATOS 2018'!$A:$AJ,8,0)," ")</f>
        <v>43109</v>
      </c>
      <c r="U78" s="698" t="str">
        <f>+IFERROR(VLOOKUP($A78,'[4]SEGUIMIENTO CONTRATOS 2018'!$A:$AJ,9,0)," ")</f>
        <v>Prestar servicios profesionales en Función Püblica para efectuar el diseño de piezas gráficas y material requerido por la Dirección General de la Entidad, asi como la diagramación de documentos y publicaciones generadas por la Entidad.</v>
      </c>
      <c r="V78" s="698" t="str">
        <f>+IFERROR(VLOOKUP($A78,'[4]SEGUIMIENTO CONTRATOS 2018'!$A:$AJ,11,0)," ")</f>
        <v>PRESTACION DE SERVICIOS PROFESIONALES</v>
      </c>
      <c r="W78" s="752">
        <f>+IFERROR(VLOOKUP($A78,'[4]SEGUIMIENTO CONTRATOS 2018'!$A:$AJ,13,0),0)</f>
        <v>19475000</v>
      </c>
      <c r="X78" s="698">
        <f>+IFERROR(VLOOKUP($A78,'[4]SEGUIMIENTO CONTRATOS 2018'!$A:$AJ,14,0),0)</f>
        <v>0</v>
      </c>
      <c r="Y78" s="752">
        <f>+IFERROR(VLOOKUP($A78,'[4]SEGUIMIENTO CONTRATOS 2018'!$A:$AJ,15,0),0)</f>
        <v>19475000</v>
      </c>
      <c r="Z78" s="752">
        <f>+IFERROR(VLOOKUP($A78,'[4]SEGUIMIENTO CONTRATOS 2018'!$A:$AJ,15,0),0)</f>
        <v>19475000</v>
      </c>
      <c r="AA78" s="698" t="str">
        <f>+IFERROR(VLOOKUP($A78,'[4]SEGUIMIENTO CONTRATOS 2018'!$A:$AJ,16,0)," ")</f>
        <v>Cinco (5) mensualidades vencidas, cada una por valor de TRES MILLONES OCHOCIENTOS NOVENTA Y CINCO MIL PESOS ($3’895.000) M/CTE.</v>
      </c>
      <c r="AB78" s="698" t="str">
        <f>+IFERROR(VLOOKUP($A78,'[4]SEGUIMIENTO CONTRATOS 2018'!$A:$AL,38,0)," ")</f>
        <v xml:space="preserve">2418 </v>
      </c>
      <c r="AC78" s="698" t="str">
        <f>+IFERROR(VLOOKUP($A78,'[4]SEGUIMIENTO CONTRATOS 2018'!$A:$AJ,24,0)," ")</f>
        <v>Cinco (05) meses, contado a partir del perfeccionamiento del mismo y registro presupuestal.</v>
      </c>
      <c r="AD78" s="751">
        <f>+IFERROR(VLOOKUP($A78,'[4]SEGUIMIENTO CONTRATOS 2018'!$A:$AJ,25,0)," ")</f>
        <v>43109</v>
      </c>
      <c r="AE78" s="751">
        <f>+IFERROR(VLOOKUP($A78,'[4]SEGUIMIENTO CONTRATOS 2018'!$A:$AJ,26,0)," ")</f>
        <v>43259</v>
      </c>
      <c r="AF78" s="698" t="str">
        <f>+IFERROR(VLOOKUP($A78,'[4]SEGUIMIENTO CONTRATOS 2018'!$A:$AJ,30,0)," ")</f>
        <v xml:space="preserve">SANTIAGO ARANGO CORRALES </v>
      </c>
      <c r="AG78" s="698" t="str">
        <f>+IFERROR(VLOOKUP($A78,'[4]SEGUIMIENTO CONTRATOS 2018'!$A:$AJ,31,0)," ")</f>
        <v>DIRECCION GENERAL</v>
      </c>
    </row>
    <row r="79" spans="1:33" ht="136.5" x14ac:dyDescent="0.25">
      <c r="A79" s="690">
        <f t="shared" si="1"/>
        <v>58</v>
      </c>
      <c r="B79" s="691" t="s">
        <v>235</v>
      </c>
      <c r="C79" s="692">
        <v>80101706</v>
      </c>
      <c r="D79" s="693" t="s">
        <v>543</v>
      </c>
      <c r="E79" s="691" t="s">
        <v>48</v>
      </c>
      <c r="F79" s="691">
        <v>1</v>
      </c>
      <c r="G79" s="694" t="s">
        <v>73</v>
      </c>
      <c r="H79" s="695">
        <v>5</v>
      </c>
      <c r="I79" s="691" t="s">
        <v>61</v>
      </c>
      <c r="J79" s="691" t="s">
        <v>66</v>
      </c>
      <c r="K79" s="691" t="s">
        <v>475</v>
      </c>
      <c r="L79" s="696">
        <v>38765000</v>
      </c>
      <c r="M79" s="697">
        <v>38765000</v>
      </c>
      <c r="N79" s="691" t="s">
        <v>51</v>
      </c>
      <c r="O79" s="691" t="s">
        <v>36</v>
      </c>
      <c r="P79" s="691" t="s">
        <v>501</v>
      </c>
      <c r="Q79" s="80"/>
      <c r="R79" s="698" t="str">
        <f>+IFERROR(VLOOKUP($A79,'[4]SEGUIMIENTO CONTRATOS 2018'!$A:$AJ,2,0)," ")</f>
        <v>038-2018</v>
      </c>
      <c r="S79" s="698" t="str">
        <f>+IFERROR(VLOOKUP($A79,'[4]SEGUIMIENTO CONTRATOS 2018'!$A:$AJ,3,0)," ")</f>
        <v>LUZ ANDREA PIÑEROS LÓPEZ</v>
      </c>
      <c r="T79" s="751">
        <f>+IFERROR(VLOOKUP($A79,'[4]SEGUIMIENTO CONTRATOS 2018'!$A:$AJ,8,0)," ")</f>
        <v>43109</v>
      </c>
      <c r="U79" s="698" t="str">
        <f>+IFERROR(VLOOKUP($A79,'[4]SEGUIMIENTO CONTRATOS 2018'!$A:$AJ,9,0)," ")</f>
        <v>Prestar servicios profesionales en la Oficina Asesora de Planeación de Función Pública, para apoyar la consolidación, documentación, operación y mejoramiento del Sistema de Información Estratégica (SIE) y su articulación con el Modelo de Gestión de la Entidad.</v>
      </c>
      <c r="V79" s="698" t="str">
        <f>+IFERROR(VLOOKUP($A79,'[4]SEGUIMIENTO CONTRATOS 2018'!$A:$AJ,11,0)," ")</f>
        <v>PRESTACION DE SERVICIOS PROFESIONALES</v>
      </c>
      <c r="W79" s="752">
        <f>+IFERROR(VLOOKUP($A79,'[4]SEGUIMIENTO CONTRATOS 2018'!$A:$AJ,13,0),0)</f>
        <v>38765000</v>
      </c>
      <c r="X79" s="698">
        <f>+IFERROR(VLOOKUP($A79,'[4]SEGUIMIENTO CONTRATOS 2018'!$A:$AJ,14,0),0)</f>
        <v>0</v>
      </c>
      <c r="Y79" s="752">
        <f>+IFERROR(VLOOKUP($A79,'[4]SEGUIMIENTO CONTRATOS 2018'!$A:$AJ,15,0),0)</f>
        <v>38765000</v>
      </c>
      <c r="Z79" s="752">
        <f>+IFERROR(VLOOKUP($A79,'[4]SEGUIMIENTO CONTRATOS 2018'!$A:$AJ,15,0),0)</f>
        <v>38765000</v>
      </c>
      <c r="AA79" s="698" t="str">
        <f>+IFERROR(VLOOKUP($A79,'[4]SEGUIMIENTO CONTRATOS 2018'!$A:$AJ,16,0)," ")</f>
        <v>Cinco (5) mensualidades vencidas, cada una por valor de SIETE MILLONES SETECIENTOS CINCUENTA Y TRES MIL DE PESOS ($7.753.000) M/CTE.</v>
      </c>
      <c r="AB79" s="698" t="str">
        <f>+IFERROR(VLOOKUP($A79,'[4]SEGUIMIENTO CONTRATOS 2018'!$A:$AL,38,0)," ")</f>
        <v xml:space="preserve">2518 </v>
      </c>
      <c r="AC79" s="698" t="str">
        <f>+IFERROR(VLOOKUP($A79,'[4]SEGUIMIENTO CONTRATOS 2018'!$A:$AJ,24,0)," ")</f>
        <v>Cinco (05) meses, contado a partir del perfeccionamiento del mismo y registro presupuestal.</v>
      </c>
      <c r="AD79" s="751">
        <f>+IFERROR(VLOOKUP($A79,'[4]SEGUIMIENTO CONTRATOS 2018'!$A:$AJ,25,0)," ")</f>
        <v>43117</v>
      </c>
      <c r="AE79" s="751">
        <f>+IFERROR(VLOOKUP($A79,'[4]SEGUIMIENTO CONTRATOS 2018'!$A:$AJ,26,0)," ")</f>
        <v>43267</v>
      </c>
      <c r="AF79" s="698" t="str">
        <f>+IFERROR(VLOOKUP($A79,'[4]SEGUIMIENTO CONTRATOS 2018'!$A:$AJ,30,0)," ")</f>
        <v xml:space="preserve">GUILLERMO MARTINEZ DAZA </v>
      </c>
      <c r="AG79" s="698" t="str">
        <f>+IFERROR(VLOOKUP($A79,'[4]SEGUIMIENTO CONTRATOS 2018'!$A:$AJ,31,0)," ")</f>
        <v>OFICINA ASESORA DE PLANEACION</v>
      </c>
    </row>
    <row r="80" spans="1:33" ht="93" x14ac:dyDescent="0.25">
      <c r="A80" s="748">
        <f t="shared" si="1"/>
        <v>59</v>
      </c>
      <c r="B80" s="600" t="s">
        <v>492</v>
      </c>
      <c r="C80" s="687">
        <v>43232309</v>
      </c>
      <c r="D80" s="602" t="s">
        <v>602</v>
      </c>
      <c r="E80" s="600" t="s">
        <v>68</v>
      </c>
      <c r="F80" s="600">
        <v>1</v>
      </c>
      <c r="G80" s="603" t="s">
        <v>80</v>
      </c>
      <c r="H80" s="604">
        <v>12</v>
      </c>
      <c r="I80" s="600" t="s">
        <v>173</v>
      </c>
      <c r="J80" s="600" t="s">
        <v>66</v>
      </c>
      <c r="K80" s="600" t="s">
        <v>585</v>
      </c>
      <c r="L80" s="637">
        <v>96600000</v>
      </c>
      <c r="M80" s="638">
        <v>96600000</v>
      </c>
      <c r="N80" s="600" t="s">
        <v>51</v>
      </c>
      <c r="O80" s="600" t="s">
        <v>36</v>
      </c>
      <c r="P80" s="600" t="s">
        <v>308</v>
      </c>
      <c r="Q80" s="80"/>
      <c r="R80" s="707" t="str">
        <f>+IFERROR(VLOOKUP($A80,'[4]SEGUIMIENTO CONTRATOS 2018'!$A:$AJ,2,0)," ")</f>
        <v xml:space="preserve"> </v>
      </c>
      <c r="S80" s="707" t="str">
        <f>+IFERROR(VLOOKUP($A80,'[4]SEGUIMIENTO CONTRATOS 2018'!$A:$AJ,3,0)," ")</f>
        <v xml:space="preserve"> </v>
      </c>
      <c r="T80" s="789" t="str">
        <f>+IFERROR(VLOOKUP($A80,'[4]SEGUIMIENTO CONTRATOS 2018'!$A:$AJ,8,0)," ")</f>
        <v xml:space="preserve"> </v>
      </c>
      <c r="U80" s="707" t="str">
        <f>+IFERROR(VLOOKUP($A80,'[4]SEGUIMIENTO CONTRATOS 2018'!$A:$AJ,9,0)," ")</f>
        <v xml:space="preserve"> </v>
      </c>
      <c r="V80" s="707" t="str">
        <f>+IFERROR(VLOOKUP($A80,'[4]SEGUIMIENTO CONTRATOS 2018'!$A:$AJ,11,0)," ")</f>
        <v xml:space="preserve"> </v>
      </c>
      <c r="W80" s="790">
        <f>+IFERROR(VLOOKUP($A80,'[4]SEGUIMIENTO CONTRATOS 2018'!$A:$AJ,13,0),0)</f>
        <v>0</v>
      </c>
      <c r="X80" s="707">
        <f>+IFERROR(VLOOKUP($A80,'[4]SEGUIMIENTO CONTRATOS 2018'!$A:$AJ,14,0),0)</f>
        <v>0</v>
      </c>
      <c r="Y80" s="790">
        <f>+IFERROR(VLOOKUP($A80,'[4]SEGUIMIENTO CONTRATOS 2018'!$A:$AJ,15,0),0)</f>
        <v>0</v>
      </c>
      <c r="Z80" s="790">
        <f>+IFERROR(VLOOKUP($A80,'[4]SEGUIMIENTO CONTRATOS 2018'!$A:$AJ,15,0),0)</f>
        <v>0</v>
      </c>
      <c r="AA80" s="707" t="str">
        <f>+IFERROR(VLOOKUP($A80,'[4]SEGUIMIENTO CONTRATOS 2018'!$A:$AJ,16,0)," ")</f>
        <v xml:space="preserve"> </v>
      </c>
      <c r="AB80" s="707" t="str">
        <f>+IFERROR(VLOOKUP($A80,'[4]SEGUIMIENTO CONTRATOS 2018'!$A:$AL,38,0)," ")</f>
        <v xml:space="preserve"> </v>
      </c>
      <c r="AC80" s="707" t="str">
        <f>+IFERROR(VLOOKUP($A80,'[4]SEGUIMIENTO CONTRATOS 2018'!$A:$AJ,24,0)," ")</f>
        <v xml:space="preserve"> </v>
      </c>
      <c r="AD80" s="789" t="str">
        <f>+IFERROR(VLOOKUP($A80,'[4]SEGUIMIENTO CONTRATOS 2018'!$A:$AJ,25,0)," ")</f>
        <v xml:space="preserve"> </v>
      </c>
      <c r="AE80" s="789" t="str">
        <f>+IFERROR(VLOOKUP($A80,'[4]SEGUIMIENTO CONTRATOS 2018'!$A:$AJ,26,0)," ")</f>
        <v xml:space="preserve"> </v>
      </c>
      <c r="AF80" s="707" t="str">
        <f>+IFERROR(VLOOKUP($A80,'[4]SEGUIMIENTO CONTRATOS 2018'!$A:$AJ,30,0)," ")</f>
        <v xml:space="preserve"> </v>
      </c>
      <c r="AG80" s="707" t="str">
        <f>+IFERROR(VLOOKUP($A80,'[4]SEGUIMIENTO CONTRATOS 2018'!$A:$AJ,31,0)," ")</f>
        <v xml:space="preserve"> </v>
      </c>
    </row>
    <row r="81" spans="1:33" ht="93" x14ac:dyDescent="0.25">
      <c r="A81" s="903">
        <f t="shared" si="1"/>
        <v>60</v>
      </c>
      <c r="B81" s="600" t="s">
        <v>492</v>
      </c>
      <c r="C81" s="687">
        <v>43211508</v>
      </c>
      <c r="D81" s="602" t="s">
        <v>498</v>
      </c>
      <c r="E81" s="600" t="s">
        <v>68</v>
      </c>
      <c r="F81" s="600">
        <v>1</v>
      </c>
      <c r="G81" s="603" t="s">
        <v>80</v>
      </c>
      <c r="H81" s="604">
        <v>12</v>
      </c>
      <c r="I81" s="600" t="s">
        <v>285</v>
      </c>
      <c r="J81" s="600" t="s">
        <v>66</v>
      </c>
      <c r="K81" s="600" t="s">
        <v>585</v>
      </c>
      <c r="L81" s="637">
        <v>49774872</v>
      </c>
      <c r="M81" s="638">
        <v>49774872</v>
      </c>
      <c r="N81" s="600" t="s">
        <v>51</v>
      </c>
      <c r="O81" s="600" t="s">
        <v>36</v>
      </c>
      <c r="P81" s="600" t="s">
        <v>308</v>
      </c>
      <c r="Q81" s="80"/>
      <c r="R81" s="718"/>
      <c r="S81" s="718"/>
      <c r="T81" s="718"/>
      <c r="U81" s="718"/>
      <c r="V81" s="718"/>
      <c r="W81" s="718"/>
      <c r="X81" s="718"/>
      <c r="Y81" s="711">
        <f t="shared" si="2"/>
        <v>0</v>
      </c>
      <c r="Z81" s="718"/>
      <c r="AA81" s="718"/>
      <c r="AB81" s="718"/>
      <c r="AC81" s="718"/>
      <c r="AD81" s="718"/>
      <c r="AE81" s="718"/>
      <c r="AF81" s="718"/>
      <c r="AG81" s="718"/>
    </row>
    <row r="82" spans="1:33" ht="89.25" customHeight="1" x14ac:dyDescent="0.25">
      <c r="A82" s="904"/>
      <c r="B82" s="749" t="s">
        <v>492</v>
      </c>
      <c r="C82" s="607">
        <v>43211509</v>
      </c>
      <c r="D82" s="686" t="s">
        <v>498</v>
      </c>
      <c r="E82" s="685" t="s">
        <v>68</v>
      </c>
      <c r="F82" s="685">
        <v>2</v>
      </c>
      <c r="G82" s="683" t="s">
        <v>75</v>
      </c>
      <c r="H82" s="684">
        <v>13</v>
      </c>
      <c r="I82" s="685" t="s">
        <v>285</v>
      </c>
      <c r="J82" s="685" t="s">
        <v>66</v>
      </c>
      <c r="K82" s="685" t="s">
        <v>627</v>
      </c>
      <c r="L82" s="637">
        <v>65125128</v>
      </c>
      <c r="M82" s="638">
        <v>65125128</v>
      </c>
      <c r="N82" s="600"/>
      <c r="O82" s="600"/>
      <c r="P82" s="600"/>
      <c r="Q82" s="80"/>
      <c r="R82" s="718"/>
      <c r="S82" s="718"/>
      <c r="T82" s="718"/>
      <c r="U82" s="718"/>
      <c r="V82" s="718"/>
      <c r="W82" s="718"/>
      <c r="X82" s="718"/>
      <c r="Y82" s="711"/>
      <c r="Z82" s="718"/>
      <c r="AA82" s="718"/>
      <c r="AB82" s="718"/>
      <c r="AC82" s="718"/>
      <c r="AD82" s="718"/>
      <c r="AE82" s="718"/>
      <c r="AF82" s="718"/>
      <c r="AG82" s="718"/>
    </row>
    <row r="83" spans="1:33" ht="93" x14ac:dyDescent="0.25">
      <c r="A83" s="748">
        <f>SUM(A81+1)</f>
        <v>61</v>
      </c>
      <c r="B83" s="600" t="s">
        <v>502</v>
      </c>
      <c r="C83" s="687">
        <v>32101617</v>
      </c>
      <c r="D83" s="602" t="s">
        <v>178</v>
      </c>
      <c r="E83" s="600" t="s">
        <v>48</v>
      </c>
      <c r="F83" s="600">
        <v>12</v>
      </c>
      <c r="G83" s="683" t="s">
        <v>81</v>
      </c>
      <c r="H83" s="604" t="s">
        <v>194</v>
      </c>
      <c r="I83" s="600" t="s">
        <v>55</v>
      </c>
      <c r="J83" s="600" t="s">
        <v>35</v>
      </c>
      <c r="K83" s="600" t="s">
        <v>161</v>
      </c>
      <c r="L83" s="605">
        <v>3000000</v>
      </c>
      <c r="M83" s="606">
        <v>3000000</v>
      </c>
      <c r="N83" s="600" t="s">
        <v>51</v>
      </c>
      <c r="O83" s="600" t="s">
        <v>36</v>
      </c>
      <c r="P83" s="600" t="s">
        <v>321</v>
      </c>
      <c r="Q83" s="80"/>
      <c r="R83" s="707" t="str">
        <f>+IFERROR(VLOOKUP($A83,'[4]SEGUIMIENTO CONTRATOS 2018'!$A:$AJ,2,0)," ")</f>
        <v xml:space="preserve"> </v>
      </c>
      <c r="S83" s="707" t="str">
        <f>+IFERROR(VLOOKUP($A83,'[4]SEGUIMIENTO CONTRATOS 2018'!$A:$AJ,3,0)," ")</f>
        <v xml:space="preserve"> </v>
      </c>
      <c r="T83" s="789" t="str">
        <f>+IFERROR(VLOOKUP($A83,'[4]SEGUIMIENTO CONTRATOS 2018'!$A:$AJ,8,0)," ")</f>
        <v xml:space="preserve"> </v>
      </c>
      <c r="U83" s="707" t="str">
        <f>+IFERROR(VLOOKUP($A83,'[4]SEGUIMIENTO CONTRATOS 2018'!$A:$AJ,9,0)," ")</f>
        <v xml:space="preserve"> </v>
      </c>
      <c r="V83" s="707" t="str">
        <f>+IFERROR(VLOOKUP($A83,'[4]SEGUIMIENTO CONTRATOS 2018'!$A:$AJ,11,0)," ")</f>
        <v xml:space="preserve"> </v>
      </c>
      <c r="W83" s="790">
        <f>+IFERROR(VLOOKUP($A83,'[4]SEGUIMIENTO CONTRATOS 2018'!$A:$AJ,13,0),0)</f>
        <v>0</v>
      </c>
      <c r="X83" s="707">
        <f>+IFERROR(VLOOKUP($A83,'[4]SEGUIMIENTO CONTRATOS 2018'!$A:$AJ,14,0),0)</f>
        <v>0</v>
      </c>
      <c r="Y83" s="790">
        <f>+IFERROR(VLOOKUP($A83,'[4]SEGUIMIENTO CONTRATOS 2018'!$A:$AJ,15,0),0)</f>
        <v>0</v>
      </c>
      <c r="Z83" s="790">
        <f>+IFERROR(VLOOKUP($A83,'[4]SEGUIMIENTO CONTRATOS 2018'!$A:$AJ,15,0),0)</f>
        <v>0</v>
      </c>
      <c r="AA83" s="707" t="str">
        <f>+IFERROR(VLOOKUP($A83,'[4]SEGUIMIENTO CONTRATOS 2018'!$A:$AJ,16,0)," ")</f>
        <v xml:space="preserve"> </v>
      </c>
      <c r="AB83" s="707" t="str">
        <f>+IFERROR(VLOOKUP($A83,'[4]SEGUIMIENTO CONTRATOS 2018'!$A:$AL,38,0)," ")</f>
        <v xml:space="preserve"> </v>
      </c>
      <c r="AC83" s="707" t="str">
        <f>+IFERROR(VLOOKUP($A83,'[4]SEGUIMIENTO CONTRATOS 2018'!$A:$AJ,24,0)," ")</f>
        <v xml:space="preserve"> </v>
      </c>
      <c r="AD83" s="789" t="str">
        <f>+IFERROR(VLOOKUP($A83,'[4]SEGUIMIENTO CONTRATOS 2018'!$A:$AJ,25,0)," ")</f>
        <v xml:space="preserve"> </v>
      </c>
      <c r="AE83" s="789" t="str">
        <f>+IFERROR(VLOOKUP($A83,'[4]SEGUIMIENTO CONTRATOS 2018'!$A:$AJ,26,0)," ")</f>
        <v xml:space="preserve"> </v>
      </c>
      <c r="AF83" s="707" t="str">
        <f>+IFERROR(VLOOKUP($A83,'[4]SEGUIMIENTO CONTRATOS 2018'!$A:$AJ,30,0)," ")</f>
        <v xml:space="preserve"> </v>
      </c>
      <c r="AG83" s="707" t="str">
        <f>+IFERROR(VLOOKUP($A83,'[4]SEGUIMIENTO CONTRATOS 2018'!$A:$AJ,31,0)," ")</f>
        <v xml:space="preserve"> </v>
      </c>
    </row>
    <row r="84" spans="1:33" ht="175.5" x14ac:dyDescent="0.25">
      <c r="A84" s="690">
        <f t="shared" si="1"/>
        <v>62</v>
      </c>
      <c r="B84" s="691" t="s">
        <v>502</v>
      </c>
      <c r="C84" s="692">
        <v>80101706</v>
      </c>
      <c r="D84" s="693" t="s">
        <v>601</v>
      </c>
      <c r="E84" s="691" t="s">
        <v>68</v>
      </c>
      <c r="F84" s="691">
        <v>1</v>
      </c>
      <c r="G84" s="694" t="s">
        <v>73</v>
      </c>
      <c r="H84" s="695" t="s">
        <v>157</v>
      </c>
      <c r="I84" s="691" t="s">
        <v>61</v>
      </c>
      <c r="J84" s="691" t="s">
        <v>35</v>
      </c>
      <c r="K84" s="691" t="s">
        <v>441</v>
      </c>
      <c r="L84" s="696">
        <v>15000000</v>
      </c>
      <c r="M84" s="697">
        <v>15000000</v>
      </c>
      <c r="N84" s="691" t="s">
        <v>51</v>
      </c>
      <c r="O84" s="691" t="s">
        <v>36</v>
      </c>
      <c r="P84" s="691" t="s">
        <v>321</v>
      </c>
      <c r="Q84" s="80"/>
      <c r="R84" s="698" t="str">
        <f>+IFERROR(VLOOKUP($A84,'[4]SEGUIMIENTO CONTRATOS 2018'!$A:$AJ,2,0)," ")</f>
        <v>087-2018</v>
      </c>
      <c r="S84" s="698" t="str">
        <f>+IFERROR(VLOOKUP($A84,'[4]SEGUIMIENTO CONTRATOS 2018'!$A:$AJ,3,0)," ")</f>
        <v>JUAN PABLO CENDALES 
RODRIGUEZ</v>
      </c>
      <c r="T84" s="751">
        <f>+IFERROR(VLOOKUP($A84,'[4]SEGUIMIENTO CONTRATOS 2018'!$A:$AJ,8,0)," ")</f>
        <v>43116</v>
      </c>
      <c r="U84" s="698" t="str">
        <f>+IFERROR(VLOOKUP($A84,'[4]SEGUIMIENTO CONTRATOS 2018'!$A:$AJ,9,0)," ")</f>
        <v>Prestar servicios profesionales en el Grupo de Gestión Financiera de Función Pública, para apoyar el desarrollo de las actividades requeridas en la implementación del nuevo marco normativo para entidades de Gobierno, aplicable a partir del 1° de enero de 2018, de conformidad con las directrices impartidas por la Contaduría General de la Nación.</v>
      </c>
      <c r="V84" s="698" t="str">
        <f>+IFERROR(VLOOKUP($A84,'[4]SEGUIMIENTO CONTRATOS 2018'!$A:$AJ,11,0)," ")</f>
        <v>PRESTACION DE SERVICIOS PROFESIONALES</v>
      </c>
      <c r="W84" s="752">
        <f>+IFERROR(VLOOKUP($A84,'[4]SEGUIMIENTO CONTRATOS 2018'!$A:$AJ,13,0),0)</f>
        <v>15000000</v>
      </c>
      <c r="X84" s="698">
        <f>+IFERROR(VLOOKUP($A84,'[4]SEGUIMIENTO CONTRATOS 2018'!$A:$AJ,14,0),0)</f>
        <v>0</v>
      </c>
      <c r="Y84" s="752">
        <f>+IFERROR(VLOOKUP($A84,'[4]SEGUIMIENTO CONTRATOS 2018'!$A:$AJ,15,0),0)</f>
        <v>15000000</v>
      </c>
      <c r="Z84" s="752">
        <f>+IFERROR(VLOOKUP($A84,'[4]SEGUIMIENTO CONTRATOS 2018'!$A:$AJ,15,0),0)</f>
        <v>15000000</v>
      </c>
      <c r="AA84" s="698" t="str">
        <f>+IFERROR(VLOOKUP($A84,'[4]SEGUIMIENTO CONTRATOS 2018'!$A:$AJ,16,0)," ")</f>
        <v>Dos (2) mensualidades vencidas, cada una por valor de SIETE MILLONES QUINIENTOS MIL PESOS ($7’500.000) M/CTE.</v>
      </c>
      <c r="AB84" s="698" t="str">
        <f>+IFERROR(VLOOKUP($A84,'[4]SEGUIMIENTO CONTRATOS 2018'!$A:$AL,38,0)," ")</f>
        <v xml:space="preserve">2618 </v>
      </c>
      <c r="AC84" s="698" t="str">
        <f>+IFERROR(VLOOKUP($A84,'[4]SEGUIMIENTO CONTRATOS 2018'!$A:$AJ,24,0)," ")</f>
        <v xml:space="preserve">Dos (2) meses, contado a partir del perfeccionamiento del mismo y registro presupuestal. </v>
      </c>
      <c r="AD84" s="751">
        <f>+IFERROR(VLOOKUP($A84,'[4]SEGUIMIENTO CONTRATOS 2018'!$A:$AJ,25,0)," ")</f>
        <v>43117</v>
      </c>
      <c r="AE84" s="751">
        <f>+IFERROR(VLOOKUP($A84,'[4]SEGUIMIENTO CONTRATOS 2018'!$A:$AJ,26,0)," ")</f>
        <v>43175</v>
      </c>
      <c r="AF84" s="698" t="str">
        <f>+IFERROR(VLOOKUP($A84,'[4]SEGUIMIENTO CONTRATOS 2018'!$A:$AJ,30,0)," ")</f>
        <v xml:space="preserve">NOHORA CONSTANZA SIABATO LOZANO  </v>
      </c>
      <c r="AG84" s="698" t="str">
        <f>+IFERROR(VLOOKUP($A84,'[4]SEGUIMIENTO CONTRATOS 2018'!$A:$AJ,31,0)," ")</f>
        <v>GRUPO DE GESTION FINANCIERA</v>
      </c>
    </row>
    <row r="85" spans="1:33" ht="97.5" x14ac:dyDescent="0.25">
      <c r="A85" s="690">
        <f t="shared" si="1"/>
        <v>63</v>
      </c>
      <c r="B85" s="691" t="s">
        <v>265</v>
      </c>
      <c r="C85" s="692">
        <v>80101706</v>
      </c>
      <c r="D85" s="693" t="s">
        <v>503</v>
      </c>
      <c r="E85" s="691" t="s">
        <v>48</v>
      </c>
      <c r="F85" s="691">
        <v>1</v>
      </c>
      <c r="G85" s="694" t="s">
        <v>73</v>
      </c>
      <c r="H85" s="695">
        <v>5</v>
      </c>
      <c r="I85" s="691" t="s">
        <v>61</v>
      </c>
      <c r="J85" s="691" t="s">
        <v>66</v>
      </c>
      <c r="K85" s="691" t="s">
        <v>475</v>
      </c>
      <c r="L85" s="696">
        <v>55000000</v>
      </c>
      <c r="M85" s="697">
        <v>55000000</v>
      </c>
      <c r="N85" s="691" t="s">
        <v>51</v>
      </c>
      <c r="O85" s="691" t="s">
        <v>36</v>
      </c>
      <c r="P85" s="691" t="s">
        <v>504</v>
      </c>
      <c r="Q85" s="80"/>
      <c r="R85" s="698" t="str">
        <f>+IFERROR(VLOOKUP($A85,'[4]SEGUIMIENTO CONTRATOS 2018'!$A:$AJ,2,0)," ")</f>
        <v>014-2018</v>
      </c>
      <c r="S85" s="698" t="str">
        <f>+IFERROR(VLOOKUP($A85,'[4]SEGUIMIENTO CONTRATOS 2018'!$A:$AJ,3,0)," ")</f>
        <v>ANDRES FELIPE SEGURA ARNAIZ</v>
      </c>
      <c r="T85" s="751">
        <f>+IFERROR(VLOOKUP($A85,'[4]SEGUIMIENTO CONTRATOS 2018'!$A:$AJ,8,0)," ")</f>
        <v>43109</v>
      </c>
      <c r="U85" s="698" t="str">
        <f>+IFERROR(VLOOKUP($A85,'[4]SEGUIMIENTO CONTRATOS 2018'!$A:$AJ,9,0)," ")</f>
        <v>Prestar servicios profesionales en la Dirección General de la Función Pública para apoyar el cumplimiento de los objetivos y metas estratégicas institucionales, asi como la comunicación y divulgacion de producto</v>
      </c>
      <c r="V85" s="698" t="str">
        <f>+IFERROR(VLOOKUP($A85,'[4]SEGUIMIENTO CONTRATOS 2018'!$A:$AJ,11,0)," ")</f>
        <v>PRESTACION DE SERVICIOS PROFESIONALES</v>
      </c>
      <c r="W85" s="752">
        <f>+IFERROR(VLOOKUP($A85,'[4]SEGUIMIENTO CONTRATOS 2018'!$A:$AJ,13,0),0)</f>
        <v>55000000</v>
      </c>
      <c r="X85" s="698">
        <f>+IFERROR(VLOOKUP($A85,'[4]SEGUIMIENTO CONTRATOS 2018'!$A:$AJ,14,0),0)</f>
        <v>0</v>
      </c>
      <c r="Y85" s="752">
        <f>+IFERROR(VLOOKUP($A85,'[4]SEGUIMIENTO CONTRATOS 2018'!$A:$AJ,15,0),0)</f>
        <v>55000000</v>
      </c>
      <c r="Z85" s="752">
        <f>+IFERROR(VLOOKUP($A85,'[4]SEGUIMIENTO CONTRATOS 2018'!$A:$AJ,15,0),0)</f>
        <v>55000000</v>
      </c>
      <c r="AA85" s="698" t="str">
        <f>+IFERROR(VLOOKUP($A85,'[4]SEGUIMIENTO CONTRATOS 2018'!$A:$AJ,16,0)," ")</f>
        <v>Cinco (5) mensualidades vencidas, cada una por valor de ONCE MILLONES DE PESOS ($11’000.000) M/CTE.</v>
      </c>
      <c r="AB85" s="698" t="str">
        <f>+IFERROR(VLOOKUP($A85,'[4]SEGUIMIENTO CONTRATOS 2018'!$A:$AL,38,0)," ")</f>
        <v xml:space="preserve">2718 </v>
      </c>
      <c r="AC85" s="698" t="str">
        <f>+IFERROR(VLOOKUP($A85,'[4]SEGUIMIENTO CONTRATOS 2018'!$A:$AJ,24,0)," ")</f>
        <v>Cinco (05) meses, contado a partir del perfeccionamiento del mismo y registro presupuestal.</v>
      </c>
      <c r="AD85" s="751">
        <f>+IFERROR(VLOOKUP($A85,'[4]SEGUIMIENTO CONTRATOS 2018'!$A:$AJ,25,0)," ")</f>
        <v>43111</v>
      </c>
      <c r="AE85" s="751">
        <f>+IFERROR(VLOOKUP($A85,'[4]SEGUIMIENTO CONTRATOS 2018'!$A:$AJ,26,0)," ")</f>
        <v>43261</v>
      </c>
      <c r="AF85" s="698" t="str">
        <f>+IFERROR(VLOOKUP($A85,'[4]SEGUIMIENTO CONTRATOS 2018'!$A:$AJ,30,0)," ")</f>
        <v xml:space="preserve">SANTIAGO ARANGO CORRALES </v>
      </c>
      <c r="AG85" s="698" t="str">
        <f>+IFERROR(VLOOKUP($A85,'[4]SEGUIMIENTO CONTRATOS 2018'!$A:$AJ,31,0)," ")</f>
        <v>DIRECCION GENERAL</v>
      </c>
    </row>
    <row r="86" spans="1:33" ht="117" x14ac:dyDescent="0.25">
      <c r="A86" s="690">
        <f t="shared" si="1"/>
        <v>64</v>
      </c>
      <c r="B86" s="691" t="s">
        <v>505</v>
      </c>
      <c r="C86" s="692">
        <v>80101706</v>
      </c>
      <c r="D86" s="693" t="s">
        <v>506</v>
      </c>
      <c r="E86" s="691" t="s">
        <v>48</v>
      </c>
      <c r="F86" s="691">
        <v>1</v>
      </c>
      <c r="G86" s="694" t="s">
        <v>73</v>
      </c>
      <c r="H86" s="695">
        <v>5</v>
      </c>
      <c r="I86" s="691" t="s">
        <v>61</v>
      </c>
      <c r="J86" s="691" t="s">
        <v>66</v>
      </c>
      <c r="K86" s="691" t="s">
        <v>475</v>
      </c>
      <c r="L86" s="696">
        <v>19475000</v>
      </c>
      <c r="M86" s="697">
        <v>19475000</v>
      </c>
      <c r="N86" s="691" t="s">
        <v>51</v>
      </c>
      <c r="O86" s="691" t="s">
        <v>36</v>
      </c>
      <c r="P86" s="691" t="s">
        <v>504</v>
      </c>
      <c r="Q86" s="80"/>
      <c r="R86" s="698" t="str">
        <f>+IFERROR(VLOOKUP($A86,'[4]SEGUIMIENTO CONTRATOS 2018'!$A:$AJ,2,0)," ")</f>
        <v>020-2018</v>
      </c>
      <c r="S86" s="698" t="str">
        <f>+IFERROR(VLOOKUP($A86,'[4]SEGUIMIENTO CONTRATOS 2018'!$A:$AJ,3,0)," ")</f>
        <v>MARIA HERRERA PARDO</v>
      </c>
      <c r="T86" s="751">
        <f>+IFERROR(VLOOKUP($A86,'[4]SEGUIMIENTO CONTRATOS 2018'!$A:$AJ,8,0)," ")</f>
        <v>43109</v>
      </c>
      <c r="U86" s="698" t="str">
        <f>+IFERROR(VLOOKUP($A86,'[4]SEGUIMIENTO CONTRATOS 2018'!$A:$AJ,9,0)," ")</f>
        <v>Prestar servicios profesionales en la Direccion General  de Función Pública, para apoyar desde una perspectiva comunicacional, la implementación y consolidación de la Estrategia de Cambio Cultural.</v>
      </c>
      <c r="V86" s="698" t="str">
        <f>+IFERROR(VLOOKUP($A86,'[4]SEGUIMIENTO CONTRATOS 2018'!$A:$AJ,11,0)," ")</f>
        <v>PRESTACION DE SERVICIOS PROFESIONALES</v>
      </c>
      <c r="W86" s="752">
        <f>+IFERROR(VLOOKUP($A86,'[4]SEGUIMIENTO CONTRATOS 2018'!$A:$AJ,13,0),0)</f>
        <v>19475000</v>
      </c>
      <c r="X86" s="698">
        <f>+IFERROR(VLOOKUP($A86,'[4]SEGUIMIENTO CONTRATOS 2018'!$A:$AJ,14,0),0)</f>
        <v>0</v>
      </c>
      <c r="Y86" s="752">
        <f>+IFERROR(VLOOKUP($A86,'[4]SEGUIMIENTO CONTRATOS 2018'!$A:$AJ,15,0),0)</f>
        <v>19475000</v>
      </c>
      <c r="Z86" s="752">
        <f>+IFERROR(VLOOKUP($A86,'[4]SEGUIMIENTO CONTRATOS 2018'!$A:$AJ,15,0),0)</f>
        <v>19475000</v>
      </c>
      <c r="AA86" s="698" t="str">
        <f>+IFERROR(VLOOKUP($A86,'[4]SEGUIMIENTO CONTRATOS 2018'!$A:$AJ,16,0)," ")</f>
        <v>Cinco (5) mensualidades vencidas, cada una por valor de TRES MILLONES OCHOCIENTOS NOVENTA YCINCO MIL PESOS ($3’895.000) M/CTE.</v>
      </c>
      <c r="AB86" s="698" t="str">
        <f>+IFERROR(VLOOKUP($A86,'[4]SEGUIMIENTO CONTRATOS 2018'!$A:$AL,38,0)," ")</f>
        <v xml:space="preserve">2818 </v>
      </c>
      <c r="AC86" s="698" t="str">
        <f>+IFERROR(VLOOKUP($A86,'[4]SEGUIMIENTO CONTRATOS 2018'!$A:$AJ,24,0)," ")</f>
        <v>Cinco (05) meses, contado a partir del perfeccionamiento del mismo y registro presupuestal.</v>
      </c>
      <c r="AD86" s="751">
        <f>+IFERROR(VLOOKUP($A86,'[4]SEGUIMIENTO CONTRATOS 2018'!$A:$AJ,25,0)," ")</f>
        <v>43115</v>
      </c>
      <c r="AE86" s="751">
        <f>+IFERROR(VLOOKUP($A86,'[4]SEGUIMIENTO CONTRATOS 2018'!$A:$AJ,26,0)," ")</f>
        <v>43265</v>
      </c>
      <c r="AF86" s="698" t="str">
        <f>+IFERROR(VLOOKUP($A86,'[4]SEGUIMIENTO CONTRATOS 2018'!$A:$AJ,30,0)," ")</f>
        <v xml:space="preserve">EDINSON GABRIEL MALAGÓN MAYORGA </v>
      </c>
      <c r="AG86" s="698" t="str">
        <f>+IFERROR(VLOOKUP($A86,'[4]SEGUIMIENTO CONTRATOS 2018'!$A:$AJ,31,0)," ")</f>
        <v>DIRECCION GENERAL</v>
      </c>
    </row>
    <row r="87" spans="1:33" ht="117" x14ac:dyDescent="0.25">
      <c r="A87" s="690">
        <f t="shared" si="1"/>
        <v>65</v>
      </c>
      <c r="B87" s="691" t="s">
        <v>505</v>
      </c>
      <c r="C87" s="692">
        <v>80101706</v>
      </c>
      <c r="D87" s="693" t="s">
        <v>506</v>
      </c>
      <c r="E87" s="691" t="s">
        <v>48</v>
      </c>
      <c r="F87" s="691">
        <v>1</v>
      </c>
      <c r="G87" s="694" t="s">
        <v>73</v>
      </c>
      <c r="H87" s="695">
        <v>5</v>
      </c>
      <c r="I87" s="691" t="s">
        <v>61</v>
      </c>
      <c r="J87" s="691" t="s">
        <v>66</v>
      </c>
      <c r="K87" s="691" t="s">
        <v>475</v>
      </c>
      <c r="L87" s="696">
        <v>47500000</v>
      </c>
      <c r="M87" s="697">
        <v>47500000</v>
      </c>
      <c r="N87" s="691" t="s">
        <v>51</v>
      </c>
      <c r="O87" s="691" t="s">
        <v>36</v>
      </c>
      <c r="P87" s="691" t="s">
        <v>504</v>
      </c>
      <c r="Q87" s="729"/>
      <c r="R87" s="698" t="str">
        <f>+IFERROR(VLOOKUP($A87,'[4]SEGUIMIENTO CONTRATOS 2018'!$A:$AJ,2,0)," ")</f>
        <v>136-2018</v>
      </c>
      <c r="S87" s="698" t="str">
        <f>+IFERROR(VLOOKUP($A87,'[4]SEGUIMIENTO CONTRATOS 2018'!$A:$AJ,3,0)," ")</f>
        <v>EDINSON GABRIEL MALAGÓN MAYORGA</v>
      </c>
      <c r="T87" s="751">
        <f>+IFERROR(VLOOKUP($A87,'[4]SEGUIMIENTO CONTRATOS 2018'!$A:$AJ,8,0)," ")</f>
        <v>43125</v>
      </c>
      <c r="U87" s="698" t="str">
        <f>+IFERROR(VLOOKUP($A87,'[4]SEGUIMIENTO CONTRATOS 2018'!$A:$AJ,9,0)," ")</f>
        <v xml:space="preserve">Prestar servicios profesionales en la Dirección General de la Función Pública para apoyar la articulación, implementación, seguimiento y evaluación de la Estrategia de Pedagogía y Construcción de Paz y de la Estrategia de Cambio Cultural. </v>
      </c>
      <c r="V87" s="698" t="str">
        <f>+IFERROR(VLOOKUP($A87,'[4]SEGUIMIENTO CONTRATOS 2018'!$A:$AJ,11,0)," ")</f>
        <v>PRESTACION DE SERVICIOS PROFESIONALES</v>
      </c>
      <c r="W87" s="752">
        <f>+IFERROR(VLOOKUP($A87,'[4]SEGUIMIENTO CONTRATOS 2018'!$A:$AJ,13,0),0)</f>
        <v>47500000</v>
      </c>
      <c r="X87" s="698">
        <f>+IFERROR(VLOOKUP($A87,'[4]SEGUIMIENTO CONTRATOS 2018'!$A:$AJ,14,0),0)</f>
        <v>0</v>
      </c>
      <c r="Y87" s="752">
        <f>+IFERROR(VLOOKUP($A87,'[4]SEGUIMIENTO CONTRATOS 2018'!$A:$AJ,15,0),0)</f>
        <v>47500000</v>
      </c>
      <c r="Z87" s="752">
        <f>+IFERROR(VLOOKUP($A87,'[4]SEGUIMIENTO CONTRATOS 2018'!$A:$AJ,15,0),0)</f>
        <v>47500000</v>
      </c>
      <c r="AA87" s="698" t="str">
        <f>+IFERROR(VLOOKUP($A87,'[4]SEGUIMIENTO CONTRATOS 2018'!$A:$AJ,16,0)," ")</f>
        <v>Cinco (5) mensualidades vencidas, cada una por valor de NUEVE MILLONES QUINIENTOS MIL PESOS ($9.500.000) M/CTE.</v>
      </c>
      <c r="AB87" s="698" t="str">
        <f>+IFERROR(VLOOKUP($A87,'[4]SEGUIMIENTO CONTRATOS 2018'!$A:$AL,38,0)," ")</f>
        <v xml:space="preserve">2918 </v>
      </c>
      <c r="AC87" s="698" t="str">
        <f>+IFERROR(VLOOKUP($A87,'[4]SEGUIMIENTO CONTRATOS 2018'!$A:$AJ,24,0)," ")</f>
        <v>Cinco (05) meses, contado a partir del perfeccionamiento del mismo y registro presupuestal.</v>
      </c>
      <c r="AD87" s="751">
        <f>+IFERROR(VLOOKUP($A87,'[4]SEGUIMIENTO CONTRATOS 2018'!$A:$AJ,25,0)," ")</f>
        <v>43125</v>
      </c>
      <c r="AE87" s="751">
        <f>+IFERROR(VLOOKUP($A87,'[4]SEGUIMIENTO CONTRATOS 2018'!$A:$AJ,26,0)," ")</f>
        <v>43275</v>
      </c>
      <c r="AF87" s="698" t="str">
        <f>+IFERROR(VLOOKUP($A87,'[4]SEGUIMIENTO CONTRATOS 2018'!$A:$AJ,30,0)," ")</f>
        <v xml:space="preserve">SANTIAGO ARANGO CORRALES </v>
      </c>
      <c r="AG87" s="698" t="str">
        <f>+IFERROR(VLOOKUP($A87,'[4]SEGUIMIENTO CONTRATOS 2018'!$A:$AJ,31,0)," ")</f>
        <v>DIRECCION GENERAL</v>
      </c>
    </row>
    <row r="88" spans="1:33" ht="136.5" x14ac:dyDescent="0.25">
      <c r="A88" s="690">
        <f t="shared" si="1"/>
        <v>66</v>
      </c>
      <c r="B88" s="691" t="s">
        <v>505</v>
      </c>
      <c r="C88" s="692">
        <v>80101706</v>
      </c>
      <c r="D88" s="693" t="s">
        <v>506</v>
      </c>
      <c r="E88" s="691" t="s">
        <v>48</v>
      </c>
      <c r="F88" s="691">
        <v>1</v>
      </c>
      <c r="G88" s="694" t="s">
        <v>73</v>
      </c>
      <c r="H88" s="695">
        <v>5</v>
      </c>
      <c r="I88" s="691" t="s">
        <v>61</v>
      </c>
      <c r="J88" s="691" t="s">
        <v>66</v>
      </c>
      <c r="K88" s="691" t="s">
        <v>475</v>
      </c>
      <c r="L88" s="696">
        <v>21700000</v>
      </c>
      <c r="M88" s="697">
        <v>21700000</v>
      </c>
      <c r="N88" s="691" t="s">
        <v>51</v>
      </c>
      <c r="O88" s="691" t="s">
        <v>36</v>
      </c>
      <c r="P88" s="691" t="s">
        <v>504</v>
      </c>
      <c r="Q88" s="80"/>
      <c r="R88" s="698" t="str">
        <f>+IFERROR(VLOOKUP($A88,'[4]SEGUIMIENTO CONTRATOS 2018'!$A:$AJ,2,0)," ")</f>
        <v>010-2018</v>
      </c>
      <c r="S88" s="698" t="str">
        <f>+IFERROR(VLOOKUP($A88,'[4]SEGUIMIENTO CONTRATOS 2018'!$A:$AJ,3,0)," ")</f>
        <v>ANA MARÍA PÉREZ CARRILLO</v>
      </c>
      <c r="T88" s="751">
        <f>+IFERROR(VLOOKUP($A88,'[4]SEGUIMIENTO CONTRATOS 2018'!$A:$AJ,8,0)," ")</f>
        <v>43109</v>
      </c>
      <c r="U88" s="698" t="str">
        <f>+IFERROR(VLOOKUP($A88,'[4]SEGUIMIENTO CONTRATOS 2018'!$A:$AJ,9,0)," ")</f>
        <v>Prestar servicios profesionales en la Direccion General de Función Pública para apoyar la investigación producción documental y la difusión para la implementación,  consolidación y seguimiento de la Estrategia de Cambio Cultural.</v>
      </c>
      <c r="V88" s="698" t="str">
        <f>+IFERROR(VLOOKUP($A88,'[4]SEGUIMIENTO CONTRATOS 2018'!$A:$AJ,11,0)," ")</f>
        <v>PRESTACION DE SERVICIOS PROFESIONALES</v>
      </c>
      <c r="W88" s="752">
        <f>+IFERROR(VLOOKUP($A88,'[4]SEGUIMIENTO CONTRATOS 2018'!$A:$AJ,13,0),0)</f>
        <v>21700000</v>
      </c>
      <c r="X88" s="698">
        <f>+IFERROR(VLOOKUP($A88,'[4]SEGUIMIENTO CONTRATOS 2018'!$A:$AJ,14,0),0)</f>
        <v>0</v>
      </c>
      <c r="Y88" s="752">
        <f>+IFERROR(VLOOKUP($A88,'[4]SEGUIMIENTO CONTRATOS 2018'!$A:$AJ,15,0),0)</f>
        <v>21700000</v>
      </c>
      <c r="Z88" s="752">
        <f>+IFERROR(VLOOKUP($A88,'[4]SEGUIMIENTO CONTRATOS 2018'!$A:$AJ,15,0),0)</f>
        <v>21700000</v>
      </c>
      <c r="AA88" s="698" t="str">
        <f>+IFERROR(VLOOKUP($A88,'[4]SEGUIMIENTO CONTRATOS 2018'!$A:$AJ,16,0)," ")</f>
        <v>Cinco (5) mensualidades vencidas, cada una por valor de CUATRO MILLONES TRESCIENTOS CUARENTA MIL PESOS ($4’340.000) M/CTE.</v>
      </c>
      <c r="AB88" s="698" t="str">
        <f>+IFERROR(VLOOKUP($A88,'[4]SEGUIMIENTO CONTRATOS 2018'!$A:$AL,38,0)," ")</f>
        <v xml:space="preserve">3018 </v>
      </c>
      <c r="AC88" s="698" t="str">
        <f>+IFERROR(VLOOKUP($A88,'[4]SEGUIMIENTO CONTRATOS 2018'!$A:$AJ,24,0)," ")</f>
        <v>Cinco (05) meses, contado a partir del perfeccionamiento del mismo y registro presupuestal.</v>
      </c>
      <c r="AD88" s="751">
        <f>+IFERROR(VLOOKUP($A88,'[4]SEGUIMIENTO CONTRATOS 2018'!$A:$AJ,25,0)," ")</f>
        <v>43109</v>
      </c>
      <c r="AE88" s="751">
        <f>+IFERROR(VLOOKUP($A88,'[4]SEGUIMIENTO CONTRATOS 2018'!$A:$AJ,26,0)," ")</f>
        <v>43259</v>
      </c>
      <c r="AF88" s="698" t="str">
        <f>+IFERROR(VLOOKUP($A88,'[4]SEGUIMIENTO CONTRATOS 2018'!$A:$AJ,30,0)," ")</f>
        <v xml:space="preserve">EDINSON GABRIEL MALAGÓN MAYORGA </v>
      </c>
      <c r="AG88" s="698" t="str">
        <f>+IFERROR(VLOOKUP($A88,'[4]SEGUIMIENTO CONTRATOS 2018'!$A:$AJ,31,0)," ")</f>
        <v>DIRECCION GENERAL</v>
      </c>
    </row>
    <row r="89" spans="1:33" ht="117" x14ac:dyDescent="0.25">
      <c r="A89" s="690">
        <f t="shared" si="1"/>
        <v>67</v>
      </c>
      <c r="B89" s="691" t="s">
        <v>507</v>
      </c>
      <c r="C89" s="692">
        <v>80101706</v>
      </c>
      <c r="D89" s="693" t="s">
        <v>508</v>
      </c>
      <c r="E89" s="691" t="s">
        <v>48</v>
      </c>
      <c r="F89" s="691">
        <v>1</v>
      </c>
      <c r="G89" s="694" t="s">
        <v>73</v>
      </c>
      <c r="H89" s="695">
        <v>5</v>
      </c>
      <c r="I89" s="691" t="s">
        <v>61</v>
      </c>
      <c r="J89" s="691" t="s">
        <v>66</v>
      </c>
      <c r="K89" s="691" t="s">
        <v>475</v>
      </c>
      <c r="L89" s="696">
        <v>19475000</v>
      </c>
      <c r="M89" s="697">
        <v>19475000</v>
      </c>
      <c r="N89" s="691" t="s">
        <v>51</v>
      </c>
      <c r="O89" s="691" t="s">
        <v>36</v>
      </c>
      <c r="P89" s="691" t="s">
        <v>504</v>
      </c>
      <c r="Q89" s="80"/>
      <c r="R89" s="698" t="str">
        <f>+IFERROR(VLOOKUP($A89,'[4]SEGUIMIENTO CONTRATOS 2018'!$A:$AJ,2,0)," ")</f>
        <v>022-2018</v>
      </c>
      <c r="S89" s="698" t="str">
        <f>+IFERROR(VLOOKUP($A89,'[4]SEGUIMIENTO CONTRATOS 2018'!$A:$AJ,3,0)," ")</f>
        <v>LINA MARIA RICAURTE SIERRA</v>
      </c>
      <c r="T89" s="751">
        <f>+IFERROR(VLOOKUP($A89,'[4]SEGUIMIENTO CONTRATOS 2018'!$A:$AJ,8,0)," ")</f>
        <v>43109</v>
      </c>
      <c r="U89" s="698" t="str">
        <f>+IFERROR(VLOOKUP($A89,'[4]SEGUIMIENTO CONTRATOS 2018'!$A:$AJ,9,0)," ")</f>
        <v>Prestar servicios profesionales en la Dirección General de Función Pública, para apoyar las actividades relacionadas con la implementación y seguimiento de la Estrategia de Gestión Internacional de la Entidad.</v>
      </c>
      <c r="V89" s="698" t="str">
        <f>+IFERROR(VLOOKUP($A89,'[4]SEGUIMIENTO CONTRATOS 2018'!$A:$AJ,11,0)," ")</f>
        <v>PRESTACION DE SERVICIOS PROFESIONALES</v>
      </c>
      <c r="W89" s="752">
        <f>+IFERROR(VLOOKUP($A89,'[4]SEGUIMIENTO CONTRATOS 2018'!$A:$AJ,13,0),0)</f>
        <v>19475000</v>
      </c>
      <c r="X89" s="698">
        <f>+IFERROR(VLOOKUP($A89,'[4]SEGUIMIENTO CONTRATOS 2018'!$A:$AJ,14,0),0)</f>
        <v>0</v>
      </c>
      <c r="Y89" s="752">
        <f>+IFERROR(VLOOKUP($A89,'[4]SEGUIMIENTO CONTRATOS 2018'!$A:$AJ,15,0),0)</f>
        <v>19475000</v>
      </c>
      <c r="Z89" s="752">
        <f>+IFERROR(VLOOKUP($A89,'[4]SEGUIMIENTO CONTRATOS 2018'!$A:$AJ,15,0),0)</f>
        <v>19475000</v>
      </c>
      <c r="AA89" s="698" t="str">
        <f>+IFERROR(VLOOKUP($A89,'[4]SEGUIMIENTO CONTRATOS 2018'!$A:$AJ,16,0)," ")</f>
        <v>Cinco (5) mensualidades vencidas, cada una por valor de TRES MILLONES OCHOCIENTOS NOVENTA Y CINCO MIL PESOS ($3.895.000) M/CTE.</v>
      </c>
      <c r="AB89" s="698" t="str">
        <f>+IFERROR(VLOOKUP($A89,'[4]SEGUIMIENTO CONTRATOS 2018'!$A:$AL,38,0)," ")</f>
        <v xml:space="preserve">3118 </v>
      </c>
      <c r="AC89" s="698" t="str">
        <f>+IFERROR(VLOOKUP($A89,'[4]SEGUIMIENTO CONTRATOS 2018'!$A:$AJ,24,0)," ")</f>
        <v>Cinco (05) meses, contado a partir del perfeccionamiento del mismo y registro presupuestal.</v>
      </c>
      <c r="AD89" s="751">
        <f>+IFERROR(VLOOKUP($A89,'[4]SEGUIMIENTO CONTRATOS 2018'!$A:$AJ,25,0)," ")</f>
        <v>43112</v>
      </c>
      <c r="AE89" s="751">
        <f>+IFERROR(VLOOKUP($A89,'[4]SEGUIMIENTO CONTRATOS 2018'!$A:$AJ,26,0)," ")</f>
        <v>43262</v>
      </c>
      <c r="AF89" s="698" t="str">
        <f>+IFERROR(VLOOKUP($A89,'[4]SEGUIMIENTO CONTRATOS 2018'!$A:$AJ,30,0)," ")</f>
        <v xml:space="preserve">JULIANA TORREO QUIJANO </v>
      </c>
      <c r="AG89" s="698" t="str">
        <f>+IFERROR(VLOOKUP($A89,'[4]SEGUIMIENTO CONTRATOS 2018'!$A:$AJ,31,0)," ")</f>
        <v>DIRECCION GENERAL</v>
      </c>
    </row>
    <row r="90" spans="1:33" ht="156" x14ac:dyDescent="0.25">
      <c r="A90" s="690">
        <f t="shared" ref="A90:A153" si="3">SUM(A89+1)</f>
        <v>68</v>
      </c>
      <c r="B90" s="691" t="s">
        <v>509</v>
      </c>
      <c r="C90" s="692">
        <v>80101706</v>
      </c>
      <c r="D90" s="693" t="s">
        <v>510</v>
      </c>
      <c r="E90" s="691" t="s">
        <v>48</v>
      </c>
      <c r="F90" s="691">
        <v>1</v>
      </c>
      <c r="G90" s="694" t="s">
        <v>73</v>
      </c>
      <c r="H90" s="695">
        <v>5</v>
      </c>
      <c r="I90" s="691" t="s">
        <v>61</v>
      </c>
      <c r="J90" s="691" t="s">
        <v>66</v>
      </c>
      <c r="K90" s="691" t="s">
        <v>475</v>
      </c>
      <c r="L90" s="696">
        <v>42500000</v>
      </c>
      <c r="M90" s="697">
        <v>42500000</v>
      </c>
      <c r="N90" s="691" t="s">
        <v>51</v>
      </c>
      <c r="O90" s="691" t="s">
        <v>36</v>
      </c>
      <c r="P90" s="691" t="s">
        <v>504</v>
      </c>
      <c r="Q90" s="729"/>
      <c r="R90" s="698" t="str">
        <f>+IFERROR(VLOOKUP($A90,'[4]SEGUIMIENTO CONTRATOS 2018'!$A:$AJ,2,0)," ")</f>
        <v>011-2018</v>
      </c>
      <c r="S90" s="698" t="str">
        <f>+IFERROR(VLOOKUP($A90,'[4]SEGUIMIENTO CONTRATOS 2018'!$A:$AJ,3,0)," ")</f>
        <v>EDINSON GABRIEL MALAGÓN MAYORGA</v>
      </c>
      <c r="T90" s="751">
        <f>+IFERROR(VLOOKUP($A90,'[4]SEGUIMIENTO CONTRATOS 2018'!$A:$AJ,8,0)," ")</f>
        <v>43109</v>
      </c>
      <c r="U90" s="698" t="str">
        <f>+IFERROR(VLOOKUP($A90,'[4]SEGUIMIENTO CONTRATOS 2018'!$A:$AJ,9,0)," ")</f>
        <v>Prestar servicios profesionales en la Dirección General de la Función Pública para apoyar la articulación, implementación, seguimiento y evaluación de la Estrategia de Pedagogía y Construcción de Paz, en el marco de la implementación del Acuerdo de Paz, de acuerdo con los compromisos adquiridos por la Entidad.</v>
      </c>
      <c r="V90" s="698" t="str">
        <f>+IFERROR(VLOOKUP($A90,'[4]SEGUIMIENTO CONTRATOS 2018'!$A:$AJ,11,0)," ")</f>
        <v>PRESTACION DE SERVICIOS PROFESIONALES</v>
      </c>
      <c r="W90" s="752">
        <f>+IFERROR(VLOOKUP($A90,'[4]SEGUIMIENTO CONTRATOS 2018'!$A:$AJ,13,0),0)</f>
        <v>42500000</v>
      </c>
      <c r="X90" s="698">
        <f>+IFERROR(VLOOKUP($A90,'[4]SEGUIMIENTO CONTRATOS 2018'!$A:$AJ,14,0),0)</f>
        <v>0</v>
      </c>
      <c r="Y90" s="752">
        <f>+IFERROR(VLOOKUP($A90,'[4]SEGUIMIENTO CONTRATOS 2018'!$A:$AJ,15,0),0)</f>
        <v>42500000</v>
      </c>
      <c r="Z90" s="752">
        <f>+IFERROR(VLOOKUP($A90,'[4]SEGUIMIENTO CONTRATOS 2018'!$A:$AJ,15,0),0)</f>
        <v>42500000</v>
      </c>
      <c r="AA90" s="698" t="str">
        <f>+IFERROR(VLOOKUP($A90,'[4]SEGUIMIENTO CONTRATOS 2018'!$A:$AJ,16,0)," ")</f>
        <v>Cinco (5) mensualidades vencidas, cada una por valor de OCHO MILLONES QUINIENTOS MIL PESOS ($8’500.000) M/CTE.</v>
      </c>
      <c r="AB90" s="698" t="str">
        <f>+IFERROR(VLOOKUP($A90,'[4]SEGUIMIENTO CONTRATOS 2018'!$A:$AL,38,0)," ")</f>
        <v xml:space="preserve">3218 </v>
      </c>
      <c r="AC90" s="698" t="str">
        <f>+IFERROR(VLOOKUP($A90,'[4]SEGUIMIENTO CONTRATOS 2018'!$A:$AJ,24,0)," ")</f>
        <v>Cinco (05) meses, contado a partir del perfeccionamiento del mismo y registro presupuestal.</v>
      </c>
      <c r="AD90" s="751">
        <f>+IFERROR(VLOOKUP($A90,'[4]SEGUIMIENTO CONTRATOS 2018'!$A:$AJ,25,0)," ")</f>
        <v>43109</v>
      </c>
      <c r="AE90" s="751">
        <f>+IFERROR(VLOOKUP($A90,'[4]SEGUIMIENTO CONTRATOS 2018'!$A:$AJ,26,0)," ")</f>
        <v>43259</v>
      </c>
      <c r="AF90" s="698" t="str">
        <f>+IFERROR(VLOOKUP($A90,'[4]SEGUIMIENTO CONTRATOS 2018'!$A:$AJ,30,0)," ")</f>
        <v>LAURA CORDOBA REYES</v>
      </c>
      <c r="AG90" s="698" t="str">
        <f>+IFERROR(VLOOKUP($A90,'[4]SEGUIMIENTO CONTRATOS 2018'!$A:$AJ,31,0)," ")</f>
        <v>DIRECCION GENERAL</v>
      </c>
    </row>
    <row r="91" spans="1:33" ht="156" x14ac:dyDescent="0.25">
      <c r="A91" s="690">
        <f t="shared" si="3"/>
        <v>69</v>
      </c>
      <c r="B91" s="691" t="s">
        <v>301</v>
      </c>
      <c r="C91" s="692">
        <v>80101706</v>
      </c>
      <c r="D91" s="693" t="s">
        <v>511</v>
      </c>
      <c r="E91" s="691" t="s">
        <v>48</v>
      </c>
      <c r="F91" s="691">
        <v>1</v>
      </c>
      <c r="G91" s="694" t="s">
        <v>73</v>
      </c>
      <c r="H91" s="695">
        <v>5</v>
      </c>
      <c r="I91" s="691" t="s">
        <v>61</v>
      </c>
      <c r="J91" s="691" t="s">
        <v>66</v>
      </c>
      <c r="K91" s="691" t="s">
        <v>475</v>
      </c>
      <c r="L91" s="696">
        <v>45000000</v>
      </c>
      <c r="M91" s="697">
        <v>45000000</v>
      </c>
      <c r="N91" s="691" t="s">
        <v>51</v>
      </c>
      <c r="O91" s="691" t="s">
        <v>36</v>
      </c>
      <c r="P91" s="691" t="s">
        <v>504</v>
      </c>
      <c r="Q91" s="80"/>
      <c r="R91" s="698" t="str">
        <f>+IFERROR(VLOOKUP($A91,'[4]SEGUIMIENTO CONTRATOS 2018'!$A:$AJ,2,0)," ")</f>
        <v>030-2018</v>
      </c>
      <c r="S91" s="698" t="str">
        <f>+IFERROR(VLOOKUP($A91,'[4]SEGUIMIENTO CONTRATOS 2018'!$A:$AJ,3,0)," ")</f>
        <v>SONIA ESTHER OSORIO VESGA</v>
      </c>
      <c r="T91" s="751">
        <f>+IFERROR(VLOOKUP($A91,'[4]SEGUIMIENTO CONTRATOS 2018'!$A:$AJ,8,0)," ")</f>
        <v>43109</v>
      </c>
      <c r="U91" s="698" t="str">
        <f>+IFERROR(VLOOKUP($A91,'[4]SEGUIMIENTO CONTRATOS 2018'!$A:$AJ,9,0)," ")</f>
        <v>Prestar servicios profesionales en la Subdirección, para apoyar la consolidación del modelo de gestión de Función Pública, asi como para efectuar el seguimiento e implementacion a los compromisos adquiridos pora las direcciones técnicas, en el marco de la apuesta estratégica institucional.</v>
      </c>
      <c r="V91" s="698" t="str">
        <f>+IFERROR(VLOOKUP($A91,'[4]SEGUIMIENTO CONTRATOS 2018'!$A:$AJ,11,0)," ")</f>
        <v>PRESTACION DE SERVICIOS PROFESIONALES</v>
      </c>
      <c r="W91" s="752">
        <f>+IFERROR(VLOOKUP($A91,'[4]SEGUIMIENTO CONTRATOS 2018'!$A:$AJ,13,0),0)</f>
        <v>45000000</v>
      </c>
      <c r="X91" s="698">
        <f>+IFERROR(VLOOKUP($A91,'[4]SEGUIMIENTO CONTRATOS 2018'!$A:$AJ,14,0),0)</f>
        <v>0</v>
      </c>
      <c r="Y91" s="752">
        <f>+IFERROR(VLOOKUP($A91,'[4]SEGUIMIENTO CONTRATOS 2018'!$A:$AJ,15,0),0)</f>
        <v>45000000</v>
      </c>
      <c r="Z91" s="752">
        <f>+IFERROR(VLOOKUP($A91,'[4]SEGUIMIENTO CONTRATOS 2018'!$A:$AJ,15,0),0)</f>
        <v>45000000</v>
      </c>
      <c r="AA91" s="698" t="str">
        <f>+IFERROR(VLOOKUP($A91,'[4]SEGUIMIENTO CONTRATOS 2018'!$A:$AJ,16,0)," ")</f>
        <v>Cinco (5) mensualidades vencidas, cada una por valor de NUEVE MILLONES DE PESOS ($9’000.000) M/CTE.</v>
      </c>
      <c r="AB91" s="698" t="str">
        <f>+IFERROR(VLOOKUP($A91,'[4]SEGUIMIENTO CONTRATOS 2018'!$A:$AL,38,0)," ")</f>
        <v xml:space="preserve">3318 </v>
      </c>
      <c r="AC91" s="698" t="str">
        <f>+IFERROR(VLOOKUP($A91,'[4]SEGUIMIENTO CONTRATOS 2018'!$A:$AJ,24,0)," ")</f>
        <v>Cinco (05) meses, contado a partir del perfeccionamiento del mismo y registro presupuestal.</v>
      </c>
      <c r="AD91" s="751">
        <f>+IFERROR(VLOOKUP($A91,'[4]SEGUIMIENTO CONTRATOS 2018'!$A:$AJ,25,0)," ")</f>
        <v>43109</v>
      </c>
      <c r="AE91" s="751">
        <f>+IFERROR(VLOOKUP($A91,'[4]SEGUIMIENTO CONTRATOS 2018'!$A:$AJ,26,0)," ")</f>
        <v>43259</v>
      </c>
      <c r="AF91" s="698" t="str">
        <f>+IFERROR(VLOOKUP($A91,'[4]SEGUIMIENTO CONTRATOS 2018'!$A:$AJ,30,0)," ")</f>
        <v>FERNANDO AUGUSTO MEDINA GUTIERREZ</v>
      </c>
      <c r="AG91" s="698" t="str">
        <f>+IFERROR(VLOOKUP($A91,'[4]SEGUIMIENTO CONTRATOS 2018'!$A:$AJ,31,0)," ")</f>
        <v>SUBDIRECCIÓN</v>
      </c>
    </row>
    <row r="92" spans="1:33" ht="175.5" x14ac:dyDescent="0.25">
      <c r="A92" s="690">
        <f t="shared" si="3"/>
        <v>70</v>
      </c>
      <c r="B92" s="691" t="s">
        <v>301</v>
      </c>
      <c r="C92" s="692">
        <v>80101706</v>
      </c>
      <c r="D92" s="693" t="s">
        <v>511</v>
      </c>
      <c r="E92" s="691" t="s">
        <v>48</v>
      </c>
      <c r="F92" s="691">
        <v>1</v>
      </c>
      <c r="G92" s="694" t="s">
        <v>73</v>
      </c>
      <c r="H92" s="695">
        <v>5</v>
      </c>
      <c r="I92" s="691" t="s">
        <v>61</v>
      </c>
      <c r="J92" s="691" t="s">
        <v>66</v>
      </c>
      <c r="K92" s="691" t="s">
        <v>475</v>
      </c>
      <c r="L92" s="696">
        <v>41500000</v>
      </c>
      <c r="M92" s="697">
        <v>41500000</v>
      </c>
      <c r="N92" s="691" t="s">
        <v>51</v>
      </c>
      <c r="O92" s="691" t="s">
        <v>36</v>
      </c>
      <c r="P92" s="691" t="s">
        <v>504</v>
      </c>
      <c r="Q92" s="80"/>
      <c r="R92" s="698" t="str">
        <f>+IFERROR(VLOOKUP($A92,'[4]SEGUIMIENTO CONTRATOS 2018'!$A:$AJ,2,0)," ")</f>
        <v>004-2018</v>
      </c>
      <c r="S92" s="698" t="str">
        <f>+IFERROR(VLOOKUP($A92,'[4]SEGUIMIENTO CONTRATOS 2018'!$A:$AJ,3,0)," ")</f>
        <v>JULIAN ALBERTO TRUJILLO</v>
      </c>
      <c r="T92" s="751">
        <f>+IFERROR(VLOOKUP($A92,'[4]SEGUIMIENTO CONTRATOS 2018'!$A:$AJ,8,0)," ")</f>
        <v>43105</v>
      </c>
      <c r="U92" s="698" t="str">
        <f>+IFERROR(VLOOKUP($A92,'[4]SEGUIMIENTO CONTRATOS 2018'!$A:$AJ,9,0)," ")</f>
        <v>Prestar servicios profesionales para apoyar a la Subdireccion de Función Püblica, en la proyección y revisión jurídica de los documentos emitidos por la misma, asi como en la gestion administrativa y presupuestal necesaria, para cumplir con las metas establecidas en el marco estratégico, en desarrollo del proyecto de inversión a su cargo.</v>
      </c>
      <c r="V92" s="698" t="str">
        <f>+IFERROR(VLOOKUP($A92,'[4]SEGUIMIENTO CONTRATOS 2018'!$A:$AJ,11,0)," ")</f>
        <v>PRESTACION DE SERVICIOS PROFESIONALES</v>
      </c>
      <c r="W92" s="752">
        <f>+IFERROR(VLOOKUP($A92,'[4]SEGUIMIENTO CONTRATOS 2018'!$A:$AJ,13,0),0)</f>
        <v>41500000</v>
      </c>
      <c r="X92" s="698">
        <f>+IFERROR(VLOOKUP($A92,'[4]SEGUIMIENTO CONTRATOS 2018'!$A:$AJ,14,0),0)</f>
        <v>0</v>
      </c>
      <c r="Y92" s="752">
        <f>+IFERROR(VLOOKUP($A92,'[4]SEGUIMIENTO CONTRATOS 2018'!$A:$AJ,15,0),0)</f>
        <v>41500000</v>
      </c>
      <c r="Z92" s="752">
        <f>+IFERROR(VLOOKUP($A92,'[4]SEGUIMIENTO CONTRATOS 2018'!$A:$AJ,15,0),0)</f>
        <v>41500000</v>
      </c>
      <c r="AA92" s="698" t="str">
        <f>+IFERROR(VLOOKUP($A92,'[4]SEGUIMIENTO CONTRATOS 2018'!$A:$AJ,16,0)," ")</f>
        <v>Cinco (5) mensualidades vencidas, cada una por valor de OCHO MILLONES TRESCIENTOS MIL PESOS ($8’300.000) M/CTE.</v>
      </c>
      <c r="AB92" s="698" t="str">
        <f>+IFERROR(VLOOKUP($A92,'[4]SEGUIMIENTO CONTRATOS 2018'!$A:$AL,38,0)," ")</f>
        <v xml:space="preserve">3418 </v>
      </c>
      <c r="AC92" s="698" t="str">
        <f>+IFERROR(VLOOKUP($A92,'[4]SEGUIMIENTO CONTRATOS 2018'!$A:$AJ,24,0)," ")</f>
        <v>Cinco (05) meses, contado a partir del perfeccionamiento del mismo y registro presupuestal.</v>
      </c>
      <c r="AD92" s="751">
        <f>+IFERROR(VLOOKUP($A92,'[4]SEGUIMIENTO CONTRATOS 2018'!$A:$AJ,25,0)," ")</f>
        <v>43105</v>
      </c>
      <c r="AE92" s="751">
        <f>+IFERROR(VLOOKUP($A92,'[4]SEGUIMIENTO CONTRATOS 2018'!$A:$AJ,26,0)," ")</f>
        <v>43255</v>
      </c>
      <c r="AF92" s="698" t="str">
        <f>+IFERROR(VLOOKUP($A92,'[4]SEGUIMIENTO CONTRATOS 2018'!$A:$AJ,30,0)," ")</f>
        <v>FERNANDO AUGUSTO MEDINA GUTIERREZ</v>
      </c>
      <c r="AG92" s="698" t="str">
        <f>+IFERROR(VLOOKUP($A92,'[4]SEGUIMIENTO CONTRATOS 2018'!$A:$AJ,31,0)," ")</f>
        <v>SUBDIRECCIÓN</v>
      </c>
    </row>
    <row r="93" spans="1:33" ht="156" x14ac:dyDescent="0.25">
      <c r="A93" s="690">
        <f t="shared" si="3"/>
        <v>71</v>
      </c>
      <c r="B93" s="691" t="s">
        <v>509</v>
      </c>
      <c r="C93" s="692">
        <v>80101706</v>
      </c>
      <c r="D93" s="693" t="s">
        <v>510</v>
      </c>
      <c r="E93" s="691" t="s">
        <v>48</v>
      </c>
      <c r="F93" s="691">
        <v>1</v>
      </c>
      <c r="G93" s="694" t="s">
        <v>73</v>
      </c>
      <c r="H93" s="695">
        <v>5</v>
      </c>
      <c r="I93" s="691" t="s">
        <v>61</v>
      </c>
      <c r="J93" s="691" t="s">
        <v>66</v>
      </c>
      <c r="K93" s="691" t="s">
        <v>495</v>
      </c>
      <c r="L93" s="696">
        <v>15165000</v>
      </c>
      <c r="M93" s="697">
        <v>15165000</v>
      </c>
      <c r="N93" s="691" t="s">
        <v>51</v>
      </c>
      <c r="O93" s="691" t="s">
        <v>36</v>
      </c>
      <c r="P93" s="691" t="s">
        <v>504</v>
      </c>
      <c r="Q93" s="729"/>
      <c r="R93" s="698" t="str">
        <f>+IFERROR(VLOOKUP($A93,'[4]SEGUIMIENTO CONTRATOS 2018'!$A:$AJ,2,0)," ")</f>
        <v>008-2018</v>
      </c>
      <c r="S93" s="698" t="str">
        <f>+IFERROR(VLOOKUP($A93,'[4]SEGUIMIENTO CONTRATOS 2018'!$A:$AJ,3,0)," ")</f>
        <v>CLAUDIA ANDREA CELY RUIZ                  CEDIDO A                                                       MELANY PAOLA FLOREZ DE LA HOZ</v>
      </c>
      <c r="T93" s="751">
        <f>+IFERROR(VLOOKUP($A93,'[4]SEGUIMIENTO CONTRATOS 2018'!$A:$AJ,8,0)," ")</f>
        <v>43109</v>
      </c>
      <c r="U93" s="698" t="str">
        <f>+IFERROR(VLOOKUP($A93,'[4]SEGUIMIENTO CONTRATOS 2018'!$A:$AJ,9,0)," ")</f>
        <v>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pora la Entidad.</v>
      </c>
      <c r="V93" s="698" t="str">
        <f>+IFERROR(VLOOKUP($A93,'[4]SEGUIMIENTO CONTRATOS 2018'!$A:$AJ,11,0)," ")</f>
        <v>PRESTACION DE SERVICIOS PROFESIONALES</v>
      </c>
      <c r="W93" s="752">
        <f>+IFERROR(VLOOKUP($A93,'[4]SEGUIMIENTO CONTRATOS 2018'!$A:$AJ,13,0),0)</f>
        <v>15165000</v>
      </c>
      <c r="X93" s="698">
        <f>+IFERROR(VLOOKUP($A93,'[4]SEGUIMIENTO CONTRATOS 2018'!$A:$AJ,14,0),0)</f>
        <v>0</v>
      </c>
      <c r="Y93" s="752">
        <f>+IFERROR(VLOOKUP($A93,'[4]SEGUIMIENTO CONTRATOS 2018'!$A:$AJ,15,0),0)</f>
        <v>15165000</v>
      </c>
      <c r="Z93" s="752">
        <f>+IFERROR(VLOOKUP($A93,'[4]SEGUIMIENTO CONTRATOS 2018'!$A:$AJ,15,0),0)</f>
        <v>15165000</v>
      </c>
      <c r="AA93" s="698" t="str">
        <f>+IFERROR(VLOOKUP($A93,'[4]SEGUIMIENTO CONTRATOS 2018'!$A:$AJ,16,0)," ")</f>
        <v>Cinco (5) mensualidades vencidas, cada una por valor de TRES MILLONES TREINTA Y TRES MIL PESOS ($3’033.000) M/CTE.</v>
      </c>
      <c r="AB93" s="698" t="str">
        <f>+IFERROR(VLOOKUP($A93,'[4]SEGUIMIENTO CONTRATOS 2018'!$A:$AL,38,0)," ")</f>
        <v xml:space="preserve">3518 </v>
      </c>
      <c r="AC93" s="698" t="str">
        <f>+IFERROR(VLOOKUP($A93,'[4]SEGUIMIENTO CONTRATOS 2018'!$A:$AJ,24,0)," ")</f>
        <v>Cinco (05) meses, contado a partir del perfeccionamiento del mismo y registro presupuestal.</v>
      </c>
      <c r="AD93" s="751">
        <f>+IFERROR(VLOOKUP($A93,'[4]SEGUIMIENTO CONTRATOS 2018'!$A:$AJ,25,0)," ")</f>
        <v>43110</v>
      </c>
      <c r="AE93" s="751">
        <f>+IFERROR(VLOOKUP($A93,'[4]SEGUIMIENTO CONTRATOS 2018'!$A:$AJ,26,0)," ")</f>
        <v>43260</v>
      </c>
      <c r="AF93" s="698" t="str">
        <f>+IFERROR(VLOOKUP($A93,'[4]SEGUIMIENTO CONTRATOS 2018'!$A:$AJ,30,0)," ")</f>
        <v>EDINSON GABRIEL MALAGÓN MAYORGA</v>
      </c>
      <c r="AG93" s="698" t="str">
        <f>+IFERROR(VLOOKUP($A93,'[4]SEGUIMIENTO CONTRATOS 2018'!$A:$AJ,31,0)," ")</f>
        <v>DIRECCION GENERAL</v>
      </c>
    </row>
    <row r="94" spans="1:33" ht="156" x14ac:dyDescent="0.25">
      <c r="A94" s="690">
        <f t="shared" si="3"/>
        <v>72</v>
      </c>
      <c r="B94" s="691" t="s">
        <v>509</v>
      </c>
      <c r="C94" s="692">
        <v>80101706</v>
      </c>
      <c r="D94" s="693" t="s">
        <v>510</v>
      </c>
      <c r="E94" s="691" t="s">
        <v>48</v>
      </c>
      <c r="F94" s="691">
        <v>1</v>
      </c>
      <c r="G94" s="694" t="s">
        <v>73</v>
      </c>
      <c r="H94" s="695">
        <v>5</v>
      </c>
      <c r="I94" s="691" t="s">
        <v>61</v>
      </c>
      <c r="J94" s="691" t="s">
        <v>66</v>
      </c>
      <c r="K94" s="691" t="s">
        <v>495</v>
      </c>
      <c r="L94" s="696">
        <v>30000000</v>
      </c>
      <c r="M94" s="697">
        <v>30000000</v>
      </c>
      <c r="N94" s="691" t="s">
        <v>51</v>
      </c>
      <c r="O94" s="691" t="s">
        <v>36</v>
      </c>
      <c r="P94" s="691" t="s">
        <v>504</v>
      </c>
      <c r="Q94" s="80"/>
      <c r="R94" s="698" t="str">
        <f>+IFERROR(VLOOKUP($A94,'[4]SEGUIMIENTO CONTRATOS 2018'!$A:$AJ,2,0)," ")</f>
        <v>005-2018</v>
      </c>
      <c r="S94" s="698" t="str">
        <f>+IFERROR(VLOOKUP($A94,'[4]SEGUIMIENTO CONTRATOS 2018'!$A:$AJ,3,0)," ")</f>
        <v>MARIA ALEJANDRA ARIAS HERNANDEZ</v>
      </c>
      <c r="T94" s="751">
        <f>+IFERROR(VLOOKUP($A94,'[4]SEGUIMIENTO CONTRATOS 2018'!$A:$AJ,8,0)," ")</f>
        <v>43109</v>
      </c>
      <c r="U94" s="698" t="str">
        <f>+IFERROR(VLOOKUP($A94,'[4]SEGUIMIENTO CONTRATOS 2018'!$A:$AJ,9,0)," ")</f>
        <v>Prestar servicios profesionales en la Direccion General de Función Pública para apoyar el desarrollo de actividades relacionadas con la Estrategia de Pedagogía y Construcción de Paz, en el marco de la implementación  del Acuerdo de Paz, de acuerdo con los compromisos adquiridos por la Entidad.</v>
      </c>
      <c r="V94" s="698" t="str">
        <f>+IFERROR(VLOOKUP($A94,'[4]SEGUIMIENTO CONTRATOS 2018'!$A:$AJ,11,0)," ")</f>
        <v>PRESTACION DE SERVICIOS PROFESIONALES</v>
      </c>
      <c r="W94" s="752">
        <f>+IFERROR(VLOOKUP($A94,'[4]SEGUIMIENTO CONTRATOS 2018'!$A:$AJ,13,0),0)</f>
        <v>30000000</v>
      </c>
      <c r="X94" s="698">
        <f>+IFERROR(VLOOKUP($A94,'[4]SEGUIMIENTO CONTRATOS 2018'!$A:$AJ,14,0),0)</f>
        <v>0</v>
      </c>
      <c r="Y94" s="752">
        <f>+IFERROR(VLOOKUP($A94,'[4]SEGUIMIENTO CONTRATOS 2018'!$A:$AJ,15,0),0)</f>
        <v>30000000</v>
      </c>
      <c r="Z94" s="752">
        <f>+IFERROR(VLOOKUP($A94,'[4]SEGUIMIENTO CONTRATOS 2018'!$A:$AJ,15,0),0)</f>
        <v>30000000</v>
      </c>
      <c r="AA94" s="698" t="str">
        <f>+IFERROR(VLOOKUP($A94,'[4]SEGUIMIENTO CONTRATOS 2018'!$A:$AJ,16,0)," ")</f>
        <v>Cinco (5) mensualidades vencidas, cada una por valor de SEIS MILLONES DE PESOS ($6’000.000) M/CTE.</v>
      </c>
      <c r="AB94" s="698" t="str">
        <f>+IFERROR(VLOOKUP($A94,'[4]SEGUIMIENTO CONTRATOS 2018'!$A:$AL,38,0)," ")</f>
        <v xml:space="preserve">3618 </v>
      </c>
      <c r="AC94" s="698" t="str">
        <f>+IFERROR(VLOOKUP($A94,'[4]SEGUIMIENTO CONTRATOS 2018'!$A:$AJ,24,0)," ")</f>
        <v>Cinco (05) meses, contado a partir del perfeccionamiento del mismo y registro presupuestal.</v>
      </c>
      <c r="AD94" s="751">
        <f>+IFERROR(VLOOKUP($A94,'[4]SEGUIMIENTO CONTRATOS 2018'!$A:$AJ,25,0)," ")</f>
        <v>43110</v>
      </c>
      <c r="AE94" s="751">
        <f>+IFERROR(VLOOKUP($A94,'[4]SEGUIMIENTO CONTRATOS 2018'!$A:$AJ,26,0)," ")</f>
        <v>43260</v>
      </c>
      <c r="AF94" s="698" t="str">
        <f>+IFERROR(VLOOKUP($A94,'[4]SEGUIMIENTO CONTRATOS 2018'!$A:$AJ,30,0)," ")</f>
        <v>EDINSON GABRIEL MALAGÓN MAYORGA</v>
      </c>
      <c r="AG94" s="698" t="str">
        <f>+IFERROR(VLOOKUP($A94,'[4]SEGUIMIENTO CONTRATOS 2018'!$A:$AJ,31,0)," ")</f>
        <v>DIRECCION GENERAL</v>
      </c>
    </row>
    <row r="95" spans="1:33" ht="195" x14ac:dyDescent="0.25">
      <c r="A95" s="690">
        <f t="shared" si="3"/>
        <v>73</v>
      </c>
      <c r="B95" s="691" t="s">
        <v>509</v>
      </c>
      <c r="C95" s="692">
        <v>80101706</v>
      </c>
      <c r="D95" s="693" t="s">
        <v>510</v>
      </c>
      <c r="E95" s="691" t="s">
        <v>48</v>
      </c>
      <c r="F95" s="691">
        <v>1</v>
      </c>
      <c r="G95" s="694" t="s">
        <v>73</v>
      </c>
      <c r="H95" s="695">
        <v>5</v>
      </c>
      <c r="I95" s="691" t="s">
        <v>61</v>
      </c>
      <c r="J95" s="691" t="s">
        <v>66</v>
      </c>
      <c r="K95" s="691" t="s">
        <v>495</v>
      </c>
      <c r="L95" s="696">
        <v>19475000</v>
      </c>
      <c r="M95" s="697">
        <v>19475000</v>
      </c>
      <c r="N95" s="691" t="s">
        <v>51</v>
      </c>
      <c r="O95" s="691" t="s">
        <v>36</v>
      </c>
      <c r="P95" s="691" t="s">
        <v>504</v>
      </c>
      <c r="Q95" s="80"/>
      <c r="R95" s="698" t="str">
        <f>+IFERROR(VLOOKUP($A95,'[4]SEGUIMIENTO CONTRATOS 2018'!$A:$AJ,2,0)," ")</f>
        <v>042-2018</v>
      </c>
      <c r="S95" s="698" t="str">
        <f>+IFERROR(VLOOKUP($A95,'[4]SEGUIMIENTO CONTRATOS 2018'!$A:$AJ,3,0)," ")</f>
        <v>FERLEY RUIZ MORENO</v>
      </c>
      <c r="T95" s="751">
        <f>+IFERROR(VLOOKUP($A95,'[4]SEGUIMIENTO CONTRATOS 2018'!$A:$AJ,8,0)," ")</f>
        <v>43109</v>
      </c>
      <c r="U95" s="698" t="str">
        <f>+IFERROR(VLOOKUP($A95,'[4]SEGUIMIENTO CONTRATOS 2018'!$A:$AJ,9,0)," ")</f>
        <v>Prestar servicios profesionales en la Dirección General de la Función Pública, para apoyar el desarrollo de las actividades encaminadas al fortalecimiento de capacidades de los servidores y entidades públicas, relacionadas con la Estrategia de Pedagogía y Contrucción de Paz, en el marco de la implementación del Acuerdo de Paz, de acuerdo con los compromisos adquiridos por la Entidad.</v>
      </c>
      <c r="V95" s="698" t="str">
        <f>+IFERROR(VLOOKUP($A95,'[4]SEGUIMIENTO CONTRATOS 2018'!$A:$AJ,11,0)," ")</f>
        <v>PRESTACION DE SERVICIOS PROFESIONALES</v>
      </c>
      <c r="W95" s="752">
        <f>+IFERROR(VLOOKUP($A95,'[4]SEGUIMIENTO CONTRATOS 2018'!$A:$AJ,13,0),0)</f>
        <v>19475000</v>
      </c>
      <c r="X95" s="698">
        <f>+IFERROR(VLOOKUP($A95,'[4]SEGUIMIENTO CONTRATOS 2018'!$A:$AJ,14,0),0)</f>
        <v>0</v>
      </c>
      <c r="Y95" s="752">
        <f>+IFERROR(VLOOKUP($A95,'[4]SEGUIMIENTO CONTRATOS 2018'!$A:$AJ,15,0),0)</f>
        <v>19475000</v>
      </c>
      <c r="Z95" s="752">
        <f>+IFERROR(VLOOKUP($A95,'[4]SEGUIMIENTO CONTRATOS 2018'!$A:$AJ,15,0),0)</f>
        <v>19475000</v>
      </c>
      <c r="AA95" s="698" t="str">
        <f>+IFERROR(VLOOKUP($A95,'[4]SEGUIMIENTO CONTRATOS 2018'!$A:$AJ,16,0)," ")</f>
        <v>Cinco (5) mensualidades vencidas, cada una por valor de TRES MILLONES OCHOCIENTOS NOVENTA Y CINCO MIL PESOS ($3’895.000) M/CTE.</v>
      </c>
      <c r="AB95" s="698" t="str">
        <f>+IFERROR(VLOOKUP($A95,'[4]SEGUIMIENTO CONTRATOS 2018'!$A:$AL,38,0)," ")</f>
        <v xml:space="preserve">3718 </v>
      </c>
      <c r="AC95" s="698" t="str">
        <f>+IFERROR(VLOOKUP($A95,'[4]SEGUIMIENTO CONTRATOS 2018'!$A:$AJ,24,0)," ")</f>
        <v>Cinco (05) meses, contado a partir del perfeccionamiento del mismo y registro presupuestal.</v>
      </c>
      <c r="AD95" s="751">
        <f>+IFERROR(VLOOKUP($A95,'[4]SEGUIMIENTO CONTRATOS 2018'!$A:$AJ,25,0)," ")</f>
        <v>43115</v>
      </c>
      <c r="AE95" s="751">
        <f>+IFERROR(VLOOKUP($A95,'[4]SEGUIMIENTO CONTRATOS 2018'!$A:$AJ,26,0)," ")</f>
        <v>43265</v>
      </c>
      <c r="AF95" s="698" t="str">
        <f>+IFERROR(VLOOKUP($A95,'[4]SEGUIMIENTO CONTRATOS 2018'!$A:$AJ,30,0)," ")</f>
        <v xml:space="preserve">EDINSON GABRIEL MALAGÓN MAYORGA </v>
      </c>
      <c r="AG95" s="698" t="str">
        <f>+IFERROR(VLOOKUP($A95,'[4]SEGUIMIENTO CONTRATOS 2018'!$A:$AJ,31,0)," ")</f>
        <v>DIRECCION GENERAL</v>
      </c>
    </row>
    <row r="96" spans="1:33" ht="102" customHeight="1" x14ac:dyDescent="0.25">
      <c r="A96" s="886">
        <f t="shared" si="3"/>
        <v>74</v>
      </c>
      <c r="B96" s="691" t="s">
        <v>286</v>
      </c>
      <c r="C96" s="692">
        <v>80101706</v>
      </c>
      <c r="D96" s="693" t="s">
        <v>514</v>
      </c>
      <c r="E96" s="691" t="s">
        <v>48</v>
      </c>
      <c r="F96" s="691">
        <v>1</v>
      </c>
      <c r="G96" s="694" t="s">
        <v>73</v>
      </c>
      <c r="H96" s="695">
        <v>5</v>
      </c>
      <c r="I96" s="691" t="s">
        <v>61</v>
      </c>
      <c r="J96" s="691" t="s">
        <v>66</v>
      </c>
      <c r="K96" s="691" t="s">
        <v>475</v>
      </c>
      <c r="L96" s="696">
        <v>12500000</v>
      </c>
      <c r="M96" s="697">
        <v>12500000</v>
      </c>
      <c r="N96" s="691" t="s">
        <v>51</v>
      </c>
      <c r="O96" s="691" t="s">
        <v>36</v>
      </c>
      <c r="P96" s="691" t="s">
        <v>515</v>
      </c>
      <c r="Q96" s="80"/>
      <c r="R96" s="888" t="s">
        <v>763</v>
      </c>
      <c r="S96" s="888" t="s">
        <v>234</v>
      </c>
      <c r="T96" s="890">
        <v>43105</v>
      </c>
      <c r="U96" s="892" t="s">
        <v>764</v>
      </c>
      <c r="V96" s="892" t="s">
        <v>683</v>
      </c>
      <c r="W96" s="719">
        <v>12500000</v>
      </c>
      <c r="X96" s="896"/>
      <c r="Y96" s="699">
        <f t="shared" ref="Y96:Y101" si="4">SUM(W96+X96)</f>
        <v>12500000</v>
      </c>
      <c r="Z96" s="719">
        <f>W96</f>
        <v>12500000</v>
      </c>
      <c r="AA96" s="882" t="s">
        <v>765</v>
      </c>
      <c r="AB96" s="888">
        <v>1918</v>
      </c>
      <c r="AC96" s="882" t="s">
        <v>704</v>
      </c>
      <c r="AD96" s="880">
        <v>43105</v>
      </c>
      <c r="AE96" s="880">
        <v>43255</v>
      </c>
      <c r="AF96" s="882" t="s">
        <v>766</v>
      </c>
      <c r="AG96" s="884" t="s">
        <v>767</v>
      </c>
    </row>
    <row r="97" spans="1:33" ht="116.25" x14ac:dyDescent="0.25">
      <c r="A97" s="887"/>
      <c r="B97" s="691" t="s">
        <v>286</v>
      </c>
      <c r="C97" s="692">
        <v>80101706</v>
      </c>
      <c r="D97" s="693" t="s">
        <v>514</v>
      </c>
      <c r="E97" s="691" t="s">
        <v>48</v>
      </c>
      <c r="F97" s="691">
        <v>1</v>
      </c>
      <c r="G97" s="694" t="s">
        <v>73</v>
      </c>
      <c r="H97" s="695">
        <v>5</v>
      </c>
      <c r="I97" s="691" t="s">
        <v>61</v>
      </c>
      <c r="J97" s="691" t="s">
        <v>66</v>
      </c>
      <c r="K97" s="691" t="s">
        <v>495</v>
      </c>
      <c r="L97" s="696">
        <v>12500000</v>
      </c>
      <c r="M97" s="697">
        <v>12500000</v>
      </c>
      <c r="N97" s="691" t="s">
        <v>51</v>
      </c>
      <c r="O97" s="691" t="s">
        <v>36</v>
      </c>
      <c r="P97" s="691" t="s">
        <v>515</v>
      </c>
      <c r="Q97" s="80"/>
      <c r="R97" s="889"/>
      <c r="S97" s="889"/>
      <c r="T97" s="891"/>
      <c r="U97" s="893"/>
      <c r="V97" s="893"/>
      <c r="W97" s="719">
        <v>12500000</v>
      </c>
      <c r="X97" s="897"/>
      <c r="Y97" s="699">
        <f t="shared" si="4"/>
        <v>12500000</v>
      </c>
      <c r="Z97" s="719">
        <f>W97</f>
        <v>12500000</v>
      </c>
      <c r="AA97" s="883"/>
      <c r="AB97" s="898"/>
      <c r="AC97" s="883"/>
      <c r="AD97" s="881"/>
      <c r="AE97" s="881"/>
      <c r="AF97" s="883"/>
      <c r="AG97" s="885"/>
    </row>
    <row r="98" spans="1:33" ht="77.25" customHeight="1" x14ac:dyDescent="0.25">
      <c r="A98" s="886">
        <f>SUM(A96+1)</f>
        <v>75</v>
      </c>
      <c r="B98" s="691" t="s">
        <v>286</v>
      </c>
      <c r="C98" s="692">
        <v>80101706</v>
      </c>
      <c r="D98" s="693" t="s">
        <v>514</v>
      </c>
      <c r="E98" s="691" t="s">
        <v>48</v>
      </c>
      <c r="F98" s="691">
        <v>1</v>
      </c>
      <c r="G98" s="694" t="s">
        <v>73</v>
      </c>
      <c r="H98" s="695">
        <v>5</v>
      </c>
      <c r="I98" s="691" t="s">
        <v>61</v>
      </c>
      <c r="J98" s="691" t="s">
        <v>66</v>
      </c>
      <c r="K98" s="691" t="s">
        <v>475</v>
      </c>
      <c r="L98" s="696">
        <v>12500000</v>
      </c>
      <c r="M98" s="697">
        <v>12500000</v>
      </c>
      <c r="N98" s="691" t="s">
        <v>51</v>
      </c>
      <c r="O98" s="691" t="s">
        <v>36</v>
      </c>
      <c r="P98" s="691" t="s">
        <v>515</v>
      </c>
      <c r="Q98" s="80"/>
      <c r="R98" s="888" t="s">
        <v>768</v>
      </c>
      <c r="S98" s="888" t="s">
        <v>769</v>
      </c>
      <c r="T98" s="890">
        <v>43105</v>
      </c>
      <c r="U98" s="892" t="s">
        <v>764</v>
      </c>
      <c r="V98" s="892" t="s">
        <v>683</v>
      </c>
      <c r="W98" s="719">
        <v>12500000</v>
      </c>
      <c r="X98" s="896"/>
      <c r="Y98" s="699">
        <f t="shared" si="4"/>
        <v>12500000</v>
      </c>
      <c r="Z98" s="719">
        <f>W98</f>
        <v>12500000</v>
      </c>
      <c r="AA98" s="882" t="s">
        <v>765</v>
      </c>
      <c r="AB98" s="888">
        <v>2018</v>
      </c>
      <c r="AC98" s="882" t="s">
        <v>704</v>
      </c>
      <c r="AD98" s="880">
        <v>43105</v>
      </c>
      <c r="AE98" s="880">
        <v>43255</v>
      </c>
      <c r="AF98" s="882" t="s">
        <v>766</v>
      </c>
      <c r="AG98" s="884" t="s">
        <v>767</v>
      </c>
    </row>
    <row r="99" spans="1:33" ht="116.25" x14ac:dyDescent="0.25">
      <c r="A99" s="887"/>
      <c r="B99" s="691" t="s">
        <v>286</v>
      </c>
      <c r="C99" s="692">
        <v>80101706</v>
      </c>
      <c r="D99" s="693" t="s">
        <v>514</v>
      </c>
      <c r="E99" s="691" t="s">
        <v>48</v>
      </c>
      <c r="F99" s="691">
        <v>1</v>
      </c>
      <c r="G99" s="694" t="s">
        <v>73</v>
      </c>
      <c r="H99" s="695">
        <v>5</v>
      </c>
      <c r="I99" s="691" t="s">
        <v>61</v>
      </c>
      <c r="J99" s="691" t="s">
        <v>66</v>
      </c>
      <c r="K99" s="691" t="s">
        <v>495</v>
      </c>
      <c r="L99" s="696">
        <v>12500000</v>
      </c>
      <c r="M99" s="697">
        <v>12500000</v>
      </c>
      <c r="N99" s="691" t="s">
        <v>51</v>
      </c>
      <c r="O99" s="691" t="s">
        <v>36</v>
      </c>
      <c r="P99" s="691" t="s">
        <v>515</v>
      </c>
      <c r="Q99" s="80"/>
      <c r="R99" s="889"/>
      <c r="S99" s="889"/>
      <c r="T99" s="891"/>
      <c r="U99" s="893"/>
      <c r="V99" s="893"/>
      <c r="W99" s="719">
        <v>12500000</v>
      </c>
      <c r="X99" s="897"/>
      <c r="Y99" s="699">
        <f t="shared" si="4"/>
        <v>12500000</v>
      </c>
      <c r="Z99" s="719">
        <f>W99</f>
        <v>12500000</v>
      </c>
      <c r="AA99" s="883"/>
      <c r="AB99" s="898"/>
      <c r="AC99" s="883"/>
      <c r="AD99" s="881"/>
      <c r="AE99" s="881"/>
      <c r="AF99" s="883"/>
      <c r="AG99" s="885"/>
    </row>
    <row r="100" spans="1:33" ht="107.25" customHeight="1" x14ac:dyDescent="0.25">
      <c r="A100" s="886">
        <f>SUM(A98+1)</f>
        <v>76</v>
      </c>
      <c r="B100" s="691" t="s">
        <v>286</v>
      </c>
      <c r="C100" s="692">
        <v>80101706</v>
      </c>
      <c r="D100" s="693" t="s">
        <v>516</v>
      </c>
      <c r="E100" s="691" t="s">
        <v>48</v>
      </c>
      <c r="F100" s="691">
        <v>1</v>
      </c>
      <c r="G100" s="694" t="s">
        <v>73</v>
      </c>
      <c r="H100" s="695">
        <v>5</v>
      </c>
      <c r="I100" s="691" t="s">
        <v>61</v>
      </c>
      <c r="J100" s="691" t="s">
        <v>66</v>
      </c>
      <c r="K100" s="691" t="s">
        <v>475</v>
      </c>
      <c r="L100" s="696">
        <v>4772500</v>
      </c>
      <c r="M100" s="697">
        <v>4772500</v>
      </c>
      <c r="N100" s="691" t="s">
        <v>51</v>
      </c>
      <c r="O100" s="691" t="s">
        <v>36</v>
      </c>
      <c r="P100" s="691" t="s">
        <v>515</v>
      </c>
      <c r="Q100" s="80"/>
      <c r="R100" s="888" t="s">
        <v>770</v>
      </c>
      <c r="S100" s="888" t="s">
        <v>771</v>
      </c>
      <c r="T100" s="890">
        <v>43109</v>
      </c>
      <c r="U100" s="892" t="s">
        <v>772</v>
      </c>
      <c r="V100" s="892" t="s">
        <v>683</v>
      </c>
      <c r="W100" s="720">
        <v>4772500</v>
      </c>
      <c r="X100" s="894"/>
      <c r="Y100" s="699">
        <f t="shared" si="4"/>
        <v>4772500</v>
      </c>
      <c r="Z100" s="720">
        <v>4772500</v>
      </c>
      <c r="AA100" s="882" t="s">
        <v>773</v>
      </c>
      <c r="AB100" s="888">
        <v>2118</v>
      </c>
      <c r="AC100" s="882" t="s">
        <v>704</v>
      </c>
      <c r="AD100" s="880">
        <v>43110</v>
      </c>
      <c r="AE100" s="880">
        <v>43260</v>
      </c>
      <c r="AF100" s="882" t="s">
        <v>766</v>
      </c>
      <c r="AG100" s="884" t="s">
        <v>767</v>
      </c>
    </row>
    <row r="101" spans="1:33" ht="116.25" x14ac:dyDescent="0.25">
      <c r="A101" s="887"/>
      <c r="B101" s="691" t="s">
        <v>286</v>
      </c>
      <c r="C101" s="692">
        <v>80101706</v>
      </c>
      <c r="D101" s="693" t="s">
        <v>516</v>
      </c>
      <c r="E101" s="691" t="s">
        <v>48</v>
      </c>
      <c r="F101" s="691">
        <v>1</v>
      </c>
      <c r="G101" s="694" t="s">
        <v>73</v>
      </c>
      <c r="H101" s="695">
        <v>5</v>
      </c>
      <c r="I101" s="691" t="s">
        <v>61</v>
      </c>
      <c r="J101" s="691" t="s">
        <v>66</v>
      </c>
      <c r="K101" s="691" t="s">
        <v>495</v>
      </c>
      <c r="L101" s="696">
        <v>4772500</v>
      </c>
      <c r="M101" s="697">
        <v>4772500</v>
      </c>
      <c r="N101" s="691" t="s">
        <v>51</v>
      </c>
      <c r="O101" s="691" t="s">
        <v>36</v>
      </c>
      <c r="P101" s="691" t="s">
        <v>515</v>
      </c>
      <c r="Q101" s="80"/>
      <c r="R101" s="889"/>
      <c r="S101" s="889"/>
      <c r="T101" s="891"/>
      <c r="U101" s="893"/>
      <c r="V101" s="893"/>
      <c r="W101" s="720">
        <v>4772500</v>
      </c>
      <c r="X101" s="895"/>
      <c r="Y101" s="699">
        <f t="shared" si="4"/>
        <v>4772500</v>
      </c>
      <c r="Z101" s="720">
        <v>4772500</v>
      </c>
      <c r="AA101" s="883"/>
      <c r="AB101" s="898"/>
      <c r="AC101" s="883"/>
      <c r="AD101" s="881"/>
      <c r="AE101" s="881"/>
      <c r="AF101" s="883"/>
      <c r="AG101" s="885"/>
    </row>
    <row r="102" spans="1:33" ht="116.25" x14ac:dyDescent="0.25">
      <c r="A102" s="690">
        <v>77</v>
      </c>
      <c r="B102" s="691" t="s">
        <v>235</v>
      </c>
      <c r="C102" s="692">
        <v>80101706</v>
      </c>
      <c r="D102" s="693" t="s">
        <v>543</v>
      </c>
      <c r="E102" s="691" t="s">
        <v>48</v>
      </c>
      <c r="F102" s="691">
        <v>1</v>
      </c>
      <c r="G102" s="694" t="s">
        <v>73</v>
      </c>
      <c r="H102" s="695">
        <v>5</v>
      </c>
      <c r="I102" s="691" t="s">
        <v>61</v>
      </c>
      <c r="J102" s="691" t="s">
        <v>66</v>
      </c>
      <c r="K102" s="691" t="s">
        <v>495</v>
      </c>
      <c r="L102" s="696">
        <v>28500000</v>
      </c>
      <c r="M102" s="697">
        <v>28500000</v>
      </c>
      <c r="N102" s="691" t="s">
        <v>51</v>
      </c>
      <c r="O102" s="691" t="s">
        <v>36</v>
      </c>
      <c r="P102" s="691" t="s">
        <v>501</v>
      </c>
      <c r="Q102" s="80"/>
      <c r="R102" s="698" t="str">
        <f>+IFERROR(VLOOKUP($A102,'[4]SEGUIMIENTO CONTRATOS 2018'!$A:$AJ,2,0)," ")</f>
        <v>012-2018</v>
      </c>
      <c r="S102" s="698" t="str">
        <f>+IFERROR(VLOOKUP($A102,'[4]SEGUIMIENTO CONTRATOS 2018'!$A:$AJ,3,0)," ")</f>
        <v>SERGIO MEJIA DUSSAN</v>
      </c>
      <c r="T102" s="751">
        <f>+IFERROR(VLOOKUP($A102,'[4]SEGUIMIENTO CONTRATOS 2018'!$A:$AJ,8,0)," ")</f>
        <v>43109</v>
      </c>
      <c r="U102" s="698" t="str">
        <f>+IFERROR(VLOOKUP($A102,'[4]SEGUIMIENTO CONTRATOS 2018'!$A:$AJ,9,0)," ")</f>
        <v>Prestar servicios profesionales en la Oficina Asesora de Planeación de Función Pública para apoyar la consolidación de información de entidades del orden territorial en el Sistema de Información Estratégica (SIE).</v>
      </c>
      <c r="V102" s="698" t="str">
        <f>+IFERROR(VLOOKUP($A102,'[4]SEGUIMIENTO CONTRATOS 2018'!$A:$AJ,11,0)," ")</f>
        <v>PRESTACION DE SERVICIOS PROFESIONALES</v>
      </c>
      <c r="W102" s="752">
        <f>+IFERROR(VLOOKUP($A102,'[4]SEGUIMIENTO CONTRATOS 2018'!$A:$AJ,13,0),0)</f>
        <v>28500000</v>
      </c>
      <c r="X102" s="698">
        <f>+IFERROR(VLOOKUP($A102,'[4]SEGUIMIENTO CONTRATOS 2018'!$A:$AJ,14,0),0)</f>
        <v>0</v>
      </c>
      <c r="Y102" s="752">
        <f>+IFERROR(VLOOKUP($A102,'[4]SEGUIMIENTO CONTRATOS 2018'!$A:$AJ,15,0),0)</f>
        <v>28500000</v>
      </c>
      <c r="Z102" s="752">
        <f>+IFERROR(VLOOKUP($A102,'[4]SEGUIMIENTO CONTRATOS 2018'!$A:$AJ,15,0),0)</f>
        <v>28500000</v>
      </c>
      <c r="AA102" s="698" t="str">
        <f>+IFERROR(VLOOKUP($A102,'[4]SEGUIMIENTO CONTRATOS 2018'!$A:$AJ,16,0)," ")</f>
        <v>Cinco (5) mensualidades vencidas, cada una por valor de CINCO MILLONES SETECIENTOS MIL PESOS ($5’700.000) M/CTE.</v>
      </c>
      <c r="AB102" s="698" t="str">
        <f>+IFERROR(VLOOKUP($A102,'[4]SEGUIMIENTO CONTRATOS 2018'!$A:$AL,38,0)," ")</f>
        <v xml:space="preserve">3818 </v>
      </c>
      <c r="AC102" s="698" t="str">
        <f>+IFERROR(VLOOKUP($A102,'[4]SEGUIMIENTO CONTRATOS 2018'!$A:$AJ,24,0)," ")</f>
        <v>Cinco (05) meses, contado a partir del perfeccionamiento del mismo y registro presupuestal.</v>
      </c>
      <c r="AD102" s="751">
        <f>+IFERROR(VLOOKUP($A102,'[4]SEGUIMIENTO CONTRATOS 2018'!$A:$AJ,25,0)," ")</f>
        <v>43116</v>
      </c>
      <c r="AE102" s="751">
        <f>+IFERROR(VLOOKUP($A102,'[4]SEGUIMIENTO CONTRATOS 2018'!$A:$AJ,26,0)," ")</f>
        <v>43266</v>
      </c>
      <c r="AF102" s="698" t="str">
        <f>+IFERROR(VLOOKUP($A102,'[4]SEGUIMIENTO CONTRATOS 2018'!$A:$AJ,30,0)," ")</f>
        <v xml:space="preserve">GUILLERMO MARTINEZ DAZA </v>
      </c>
      <c r="AG102" s="698" t="str">
        <f>+IFERROR(VLOOKUP($A102,'[4]SEGUIMIENTO CONTRATOS 2018'!$A:$AJ,31,0)," ")</f>
        <v>OFICINA ASESORA DE PLANEACION</v>
      </c>
    </row>
    <row r="103" spans="1:33" ht="117" x14ac:dyDescent="0.25">
      <c r="A103" s="690">
        <f t="shared" si="3"/>
        <v>78</v>
      </c>
      <c r="B103" s="691" t="s">
        <v>517</v>
      </c>
      <c r="C103" s="692">
        <v>80101706</v>
      </c>
      <c r="D103" s="693" t="s">
        <v>518</v>
      </c>
      <c r="E103" s="691" t="s">
        <v>48</v>
      </c>
      <c r="F103" s="691">
        <v>1</v>
      </c>
      <c r="G103" s="694" t="s">
        <v>73</v>
      </c>
      <c r="H103" s="695">
        <v>5</v>
      </c>
      <c r="I103" s="691" t="s">
        <v>61</v>
      </c>
      <c r="J103" s="691" t="s">
        <v>66</v>
      </c>
      <c r="K103" s="691" t="s">
        <v>475</v>
      </c>
      <c r="L103" s="696">
        <v>26155000</v>
      </c>
      <c r="M103" s="697">
        <v>26155000</v>
      </c>
      <c r="N103" s="691" t="s">
        <v>51</v>
      </c>
      <c r="O103" s="691" t="s">
        <v>36</v>
      </c>
      <c r="P103" s="691" t="s">
        <v>519</v>
      </c>
      <c r="Q103" s="80"/>
      <c r="R103" s="698" t="str">
        <f>+IFERROR(VLOOKUP($A103,'[4]SEGUIMIENTO CONTRATOS 2018'!$A:$AJ,2,0)," ")</f>
        <v>006-2018</v>
      </c>
      <c r="S103" s="698" t="str">
        <f>+IFERROR(VLOOKUP($A103,'[4]SEGUIMIENTO CONTRATOS 2018'!$A:$AJ,3,0)," ")</f>
        <v>CRISTIAN YESID TORRES GUERRERO</v>
      </c>
      <c r="T103" s="751">
        <f>+IFERROR(VLOOKUP($A103,'[4]SEGUIMIENTO CONTRATOS 2018'!$A:$AJ,8,0)," ")</f>
        <v>43109</v>
      </c>
      <c r="U103" s="698" t="str">
        <f>+IFERROR(VLOOKUP($A103,'[4]SEGUIMIENTO CONTRATOS 2018'!$A:$AJ,9,0)," ")</f>
        <v>Prestar servicios profesionales en el Grupo de Servicio al Ciudadano Institucional de Función Püblica, para apoyar el fortalecimiento del primer nivel de servicio en materia de producción  de información  y generación de reportes.</v>
      </c>
      <c r="V103" s="698" t="str">
        <f>+IFERROR(VLOOKUP($A103,'[4]SEGUIMIENTO CONTRATOS 2018'!$A:$AJ,11,0)," ")</f>
        <v>PRESTACION DE SERVICIOS PROFESIONALES</v>
      </c>
      <c r="W103" s="752">
        <f>+IFERROR(VLOOKUP($A103,'[4]SEGUIMIENTO CONTRATOS 2018'!$A:$AJ,13,0),0)</f>
        <v>26155000</v>
      </c>
      <c r="X103" s="698">
        <f>+IFERROR(VLOOKUP($A103,'[4]SEGUIMIENTO CONTRATOS 2018'!$A:$AJ,14,0),0)</f>
        <v>0</v>
      </c>
      <c r="Y103" s="752">
        <f>+IFERROR(VLOOKUP($A103,'[4]SEGUIMIENTO CONTRATOS 2018'!$A:$AJ,15,0),0)</f>
        <v>26155000</v>
      </c>
      <c r="Z103" s="752">
        <f>+IFERROR(VLOOKUP($A103,'[4]SEGUIMIENTO CONTRATOS 2018'!$A:$AJ,15,0),0)</f>
        <v>26155000</v>
      </c>
      <c r="AA103" s="698" t="str">
        <f>+IFERROR(VLOOKUP($A103,'[4]SEGUIMIENTO CONTRATOS 2018'!$A:$AJ,16,0)," ")</f>
        <v>Cinco (5) mensualidades vencidas, cada una por valor de CINCO MILLONES DOSCIENTOS TREINTA Y UN MIL PESOS ($5’231.000) M/CTE.</v>
      </c>
      <c r="AB103" s="698" t="str">
        <f>+IFERROR(VLOOKUP($A103,'[4]SEGUIMIENTO CONTRATOS 2018'!$A:$AL,38,0)," ")</f>
        <v xml:space="preserve">3918 </v>
      </c>
      <c r="AC103" s="698" t="str">
        <f>+IFERROR(VLOOKUP($A103,'[4]SEGUIMIENTO CONTRATOS 2018'!$A:$AJ,24,0)," ")</f>
        <v>Cinco (05) meses, contado a partir del perfeccionamiento del mismo y registro presupuestal.</v>
      </c>
      <c r="AD103" s="751">
        <f>+IFERROR(VLOOKUP($A103,'[4]SEGUIMIENTO CONTRATOS 2018'!$A:$AJ,25,0)," ")</f>
        <v>43110</v>
      </c>
      <c r="AE103" s="751">
        <f>+IFERROR(VLOOKUP($A103,'[4]SEGUIMIENTO CONTRATOS 2018'!$A:$AJ,26,0)," ")</f>
        <v>43260</v>
      </c>
      <c r="AF103" s="698" t="str">
        <f>+IFERROR(VLOOKUP($A103,'[4]SEGUIMIENTO CONTRATOS 2018'!$A:$AJ,30,0)," ")</f>
        <v>JAIME HUMBERTO JIMENEZ VERGEL</v>
      </c>
      <c r="AG103" s="698" t="str">
        <f>+IFERROR(VLOOKUP($A103,'[4]SEGUIMIENTO CONTRATOS 2018'!$A:$AJ,31,0)," ")</f>
        <v>GRUPO DE SERVICIO AL CIUDADANO INSTITUCIONAL</v>
      </c>
    </row>
    <row r="104" spans="1:33" ht="136.5" x14ac:dyDescent="0.25">
      <c r="A104" s="690">
        <f>SUM(A103+1)</f>
        <v>79</v>
      </c>
      <c r="B104" s="691" t="s">
        <v>247</v>
      </c>
      <c r="C104" s="692">
        <v>80101706</v>
      </c>
      <c r="D104" s="693" t="s">
        <v>544</v>
      </c>
      <c r="E104" s="691" t="s">
        <v>48</v>
      </c>
      <c r="F104" s="691">
        <v>1</v>
      </c>
      <c r="G104" s="694" t="s">
        <v>73</v>
      </c>
      <c r="H104" s="695">
        <v>8</v>
      </c>
      <c r="I104" s="691" t="s">
        <v>61</v>
      </c>
      <c r="J104" s="691" t="s">
        <v>35</v>
      </c>
      <c r="K104" s="691" t="s">
        <v>441</v>
      </c>
      <c r="L104" s="696">
        <v>14400000</v>
      </c>
      <c r="M104" s="697">
        <v>14400000</v>
      </c>
      <c r="N104" s="691" t="s">
        <v>51</v>
      </c>
      <c r="O104" s="691" t="s">
        <v>36</v>
      </c>
      <c r="P104" s="691" t="s">
        <v>513</v>
      </c>
      <c r="Q104" s="80"/>
      <c r="R104" s="698" t="str">
        <f>+IFERROR(VLOOKUP($A104,'[4]SEGUIMIENTO CONTRATOS 2018'!$A:$AJ,2,0)," ")</f>
        <v>098-2018</v>
      </c>
      <c r="S104" s="698" t="str">
        <f>+IFERROR(VLOOKUP($A104,'[4]SEGUIMIENTO CONTRATOS 2018'!$A:$AJ,3,0)," ")</f>
        <v>JUAN DAVID CAMACHO PIÑEROS</v>
      </c>
      <c r="T104" s="751">
        <f>+IFERROR(VLOOKUP($A104,'[4]SEGUIMIENTO CONTRATOS 2018'!$A:$AJ,8,0)," ")</f>
        <v>43117</v>
      </c>
      <c r="U104" s="698" t="str">
        <f>+IFERROR(VLOOKUP($A104,'[4]SEGUIMIENTO CONTRATOS 2018'!$A:$AJ,9,0)," ")</f>
        <v>Prestar servicios de apoyo a la gestión, en la Secretaría General de Función Pública, en lo relacionado con el seguimiento a los diferentes planes suscritos por ésta dependencia y sus grupos internos de trabajo, así como la revisión de documentos generados por las mismas.</v>
      </c>
      <c r="V104" s="698" t="str">
        <f>+IFERROR(VLOOKUP($A104,'[4]SEGUIMIENTO CONTRATOS 2018'!$A:$AJ,11,0)," ")</f>
        <v>PRESTACION DE SERVICIOS DE APOYO A LA GESTION</v>
      </c>
      <c r="W104" s="752">
        <f>+IFERROR(VLOOKUP($A104,'[4]SEGUIMIENTO CONTRATOS 2018'!$A:$AJ,13,0),0)</f>
        <v>14400000</v>
      </c>
      <c r="X104" s="698">
        <f>+IFERROR(VLOOKUP($A104,'[4]SEGUIMIENTO CONTRATOS 2018'!$A:$AJ,14,0),0)</f>
        <v>0</v>
      </c>
      <c r="Y104" s="752">
        <f>+IFERROR(VLOOKUP($A104,'[4]SEGUIMIENTO CONTRATOS 2018'!$A:$AJ,15,0),0)</f>
        <v>14400000</v>
      </c>
      <c r="Z104" s="752">
        <f>+IFERROR(VLOOKUP($A104,'[4]SEGUIMIENTO CONTRATOS 2018'!$A:$AJ,15,0),0)</f>
        <v>14400000</v>
      </c>
      <c r="AA104" s="698" t="str">
        <f>+IFERROR(VLOOKUP($A104,'[4]SEGUIMIENTO CONTRATOS 2018'!$A:$AJ,16,0)," ")</f>
        <v>Ocho (8) mensualidades vencidas, cada una por valor de UN MILLON OCHOCIENTOS MIL PESOS ($1.800.000) M/CTE.</v>
      </c>
      <c r="AB104" s="698" t="str">
        <f>+IFERROR(VLOOKUP($A104,'[4]SEGUIMIENTO CONTRATOS 2018'!$A:$AL,38,0)," ")</f>
        <v xml:space="preserve">4018 </v>
      </c>
      <c r="AC104" s="698" t="str">
        <f>+IFERROR(VLOOKUP($A104,'[4]SEGUIMIENTO CONTRATOS 2018'!$A:$AJ,24,0)," ")</f>
        <v>Ocho (8) meses, contado a partir del perfeccionamiento del mismo y registro presupuestal.</v>
      </c>
      <c r="AD104" s="751">
        <f>+IFERROR(VLOOKUP($A104,'[4]SEGUIMIENTO CONTRATOS 2018'!$A:$AJ,25,0)," ")</f>
        <v>43118</v>
      </c>
      <c r="AE104" s="751">
        <f>+IFERROR(VLOOKUP($A104,'[4]SEGUIMIENTO CONTRATOS 2018'!$A:$AJ,26,0)," ")</f>
        <v>43360</v>
      </c>
      <c r="AF104" s="698" t="str">
        <f>+IFERROR(VLOOKUP($A104,'[4]SEGUIMIENTO CONTRATOS 2018'!$A:$AJ,30,0)," ")</f>
        <v>NATALIA ASTRID CARDONA RAMIREZ</v>
      </c>
      <c r="AG104" s="698" t="str">
        <f>+IFERROR(VLOOKUP($A104,'[4]SEGUIMIENTO CONTRATOS 2018'!$A:$AJ,31,0)," ")</f>
        <v>SECRETARIA GENERAL</v>
      </c>
    </row>
    <row r="105" spans="1:33" ht="156" x14ac:dyDescent="0.25">
      <c r="A105" s="690">
        <f t="shared" si="3"/>
        <v>80</v>
      </c>
      <c r="B105" s="691" t="s">
        <v>170</v>
      </c>
      <c r="C105" s="692">
        <v>80101706</v>
      </c>
      <c r="D105" s="693" t="s">
        <v>526</v>
      </c>
      <c r="E105" s="691" t="s">
        <v>48</v>
      </c>
      <c r="F105" s="691">
        <v>1</v>
      </c>
      <c r="G105" s="694" t="s">
        <v>73</v>
      </c>
      <c r="H105" s="695">
        <v>5</v>
      </c>
      <c r="I105" s="691" t="s">
        <v>61</v>
      </c>
      <c r="J105" s="691" t="s">
        <v>66</v>
      </c>
      <c r="K105" s="691" t="s">
        <v>475</v>
      </c>
      <c r="L105" s="696">
        <v>31500000</v>
      </c>
      <c r="M105" s="697">
        <v>31500000</v>
      </c>
      <c r="N105" s="691" t="s">
        <v>51</v>
      </c>
      <c r="O105" s="691" t="s">
        <v>36</v>
      </c>
      <c r="P105" s="691" t="s">
        <v>527</v>
      </c>
      <c r="Q105" s="80"/>
      <c r="R105" s="698" t="str">
        <f>+IFERROR(VLOOKUP($A105,'[4]SEGUIMIENTO CONTRATOS 2018'!$A:$AJ,2,0)," ")</f>
        <v>034-2018</v>
      </c>
      <c r="S105" s="698" t="str">
        <f>+IFERROR(VLOOKUP($A105,'[4]SEGUIMIENTO CONTRATOS 2018'!$A:$AJ,3,0)," ")</f>
        <v>CHRISTIAN ALEXANDER FLOREZ GUERRERO</v>
      </c>
      <c r="T105" s="751">
        <f>+IFERROR(VLOOKUP($A105,'[4]SEGUIMIENTO CONTRATOS 2018'!$A:$AJ,8,0)," ")</f>
        <v>43109</v>
      </c>
      <c r="U105" s="698" t="str">
        <f>+IFERROR(VLOOKUP($A105,'[4]SEGUIMIENTO CONTRATOS 2018'!$A:$AJ,9,0)," ")</f>
        <v>Prestar servicios profesionales en la Dirección de Empleo Publico de Función Pública, para apoyar la implementación y seguimiento de la tercera convocatoria del Programa Estado Joven, asi como del programa servimos y de los compromisos derivados de los convenios en materia de empleo público.</v>
      </c>
      <c r="V105" s="698" t="str">
        <f>+IFERROR(VLOOKUP($A105,'[4]SEGUIMIENTO CONTRATOS 2018'!$A:$AJ,11,0)," ")</f>
        <v>PRESTACION DE SERVICIOS PROFESIONALES</v>
      </c>
      <c r="W105" s="752">
        <f>+IFERROR(VLOOKUP($A105,'[4]SEGUIMIENTO CONTRATOS 2018'!$A:$AJ,13,0),0)</f>
        <v>31500000</v>
      </c>
      <c r="X105" s="698">
        <f>+IFERROR(VLOOKUP($A105,'[4]SEGUIMIENTO CONTRATOS 2018'!$A:$AJ,14,0),0)</f>
        <v>0</v>
      </c>
      <c r="Y105" s="752">
        <f>+IFERROR(VLOOKUP($A105,'[4]SEGUIMIENTO CONTRATOS 2018'!$A:$AJ,15,0),0)</f>
        <v>31500000</v>
      </c>
      <c r="Z105" s="752">
        <f>+IFERROR(VLOOKUP($A105,'[4]SEGUIMIENTO CONTRATOS 2018'!$A:$AJ,15,0),0)</f>
        <v>31500000</v>
      </c>
      <c r="AA105" s="698" t="str">
        <f>+IFERROR(VLOOKUP($A105,'[4]SEGUIMIENTO CONTRATOS 2018'!$A:$AJ,16,0)," ")</f>
        <v>Cinco (5) mensualidades vencidas, cada una por valor de SEIS MILLONES TRESCIENTOS MIL PESOS ($6’300.000) M/CTE.</v>
      </c>
      <c r="AB105" s="698" t="str">
        <f>+IFERROR(VLOOKUP($A105,'[4]SEGUIMIENTO CONTRATOS 2018'!$A:$AL,38,0)," ")</f>
        <v xml:space="preserve">4118 </v>
      </c>
      <c r="AC105" s="698" t="str">
        <f>+IFERROR(VLOOKUP($A105,'[4]SEGUIMIENTO CONTRATOS 2018'!$A:$AJ,24,0)," ")</f>
        <v>Cinco (05) meses, contado a partir del perfeccionamiento del mismo y registro presupuestal.</v>
      </c>
      <c r="AD105" s="751">
        <f>+IFERROR(VLOOKUP($A105,'[4]SEGUIMIENTO CONTRATOS 2018'!$A:$AJ,25,0)," ")</f>
        <v>43111</v>
      </c>
      <c r="AE105" s="751">
        <f>+IFERROR(VLOOKUP($A105,'[4]SEGUIMIENTO CONTRATOS 2018'!$A:$AJ,26,0)," ")</f>
        <v>43261</v>
      </c>
      <c r="AF105" s="698" t="str">
        <f>+IFERROR(VLOOKUP($A105,'[4]SEGUIMIENTO CONTRATOS 2018'!$A:$AJ,30,0)," ")</f>
        <v>FRANCISCO ALFONSO CAMARGO SALAS</v>
      </c>
      <c r="AG105" s="698" t="str">
        <f>+IFERROR(VLOOKUP($A105,'[4]SEGUIMIENTO CONTRATOS 2018'!$A:$AJ,31,0)," ")</f>
        <v>DIRECCION DE EMPLEO PUBLICO</v>
      </c>
    </row>
    <row r="106" spans="1:33" ht="93" x14ac:dyDescent="0.25">
      <c r="A106" s="599">
        <f t="shared" si="3"/>
        <v>81</v>
      </c>
      <c r="B106" s="600" t="s">
        <v>267</v>
      </c>
      <c r="C106" s="687">
        <v>44121505</v>
      </c>
      <c r="D106" s="602" t="s">
        <v>545</v>
      </c>
      <c r="E106" s="600" t="s">
        <v>48</v>
      </c>
      <c r="F106" s="600">
        <v>1</v>
      </c>
      <c r="G106" s="603" t="s">
        <v>75</v>
      </c>
      <c r="H106" s="604" t="s">
        <v>156</v>
      </c>
      <c r="I106" s="600" t="s">
        <v>173</v>
      </c>
      <c r="J106" s="600" t="s">
        <v>35</v>
      </c>
      <c r="K106" s="600" t="s">
        <v>41</v>
      </c>
      <c r="L106" s="605">
        <v>1620000</v>
      </c>
      <c r="M106" s="606">
        <v>1620000</v>
      </c>
      <c r="N106" s="600" t="s">
        <v>51</v>
      </c>
      <c r="O106" s="600" t="s">
        <v>36</v>
      </c>
      <c r="P106" s="600" t="s">
        <v>546</v>
      </c>
      <c r="Q106" s="80"/>
      <c r="R106" s="707" t="str">
        <f>+IFERROR(VLOOKUP($A106,'[4]SEGUIMIENTO CONTRATOS 2018'!$A:$AJ,2,0)," ")</f>
        <v xml:space="preserve"> </v>
      </c>
      <c r="S106" s="707" t="str">
        <f>+IFERROR(VLOOKUP($A106,'[4]SEGUIMIENTO CONTRATOS 2018'!$A:$AJ,3,0)," ")</f>
        <v xml:space="preserve"> </v>
      </c>
      <c r="T106" s="789" t="str">
        <f>+IFERROR(VLOOKUP($A106,'[4]SEGUIMIENTO CONTRATOS 2018'!$A:$AJ,8,0)," ")</f>
        <v xml:space="preserve"> </v>
      </c>
      <c r="U106" s="707" t="str">
        <f>+IFERROR(VLOOKUP($A106,'[4]SEGUIMIENTO CONTRATOS 2018'!$A:$AJ,9,0)," ")</f>
        <v xml:space="preserve"> </v>
      </c>
      <c r="V106" s="707" t="str">
        <f>+IFERROR(VLOOKUP($A106,'[4]SEGUIMIENTO CONTRATOS 2018'!$A:$AJ,11,0)," ")</f>
        <v xml:space="preserve"> </v>
      </c>
      <c r="W106" s="790">
        <f>+IFERROR(VLOOKUP($A106,'[4]SEGUIMIENTO CONTRATOS 2018'!$A:$AJ,13,0),0)</f>
        <v>0</v>
      </c>
      <c r="X106" s="707">
        <f>+IFERROR(VLOOKUP($A106,'[4]SEGUIMIENTO CONTRATOS 2018'!$A:$AJ,14,0),0)</f>
        <v>0</v>
      </c>
      <c r="Y106" s="790">
        <f>+IFERROR(VLOOKUP($A106,'[4]SEGUIMIENTO CONTRATOS 2018'!$A:$AJ,15,0),0)</f>
        <v>0</v>
      </c>
      <c r="Z106" s="790">
        <f>+IFERROR(VLOOKUP($A106,'[4]SEGUIMIENTO CONTRATOS 2018'!$A:$AJ,15,0),0)</f>
        <v>0</v>
      </c>
      <c r="AA106" s="707" t="str">
        <f>+IFERROR(VLOOKUP($A106,'[4]SEGUIMIENTO CONTRATOS 2018'!$A:$AJ,16,0)," ")</f>
        <v xml:space="preserve"> </v>
      </c>
      <c r="AB106" s="707" t="str">
        <f>+IFERROR(VLOOKUP($A106,'[4]SEGUIMIENTO CONTRATOS 2018'!$A:$AL,38,0)," ")</f>
        <v xml:space="preserve"> </v>
      </c>
      <c r="AC106" s="707" t="str">
        <f>+IFERROR(VLOOKUP($A106,'[4]SEGUIMIENTO CONTRATOS 2018'!$A:$AJ,24,0)," ")</f>
        <v xml:space="preserve"> </v>
      </c>
      <c r="AD106" s="789" t="str">
        <f>+IFERROR(VLOOKUP($A106,'[4]SEGUIMIENTO CONTRATOS 2018'!$A:$AJ,25,0)," ")</f>
        <v xml:space="preserve"> </v>
      </c>
      <c r="AE106" s="789" t="str">
        <f>+IFERROR(VLOOKUP($A106,'[4]SEGUIMIENTO CONTRATOS 2018'!$A:$AJ,26,0)," ")</f>
        <v xml:space="preserve"> </v>
      </c>
      <c r="AF106" s="707" t="str">
        <f>+IFERROR(VLOOKUP($A106,'[4]SEGUIMIENTO CONTRATOS 2018'!$A:$AJ,30,0)," ")</f>
        <v xml:space="preserve"> </v>
      </c>
      <c r="AG106" s="707" t="str">
        <f>+IFERROR(VLOOKUP($A106,'[4]SEGUIMIENTO CONTRATOS 2018'!$A:$AJ,31,0)," ")</f>
        <v xml:space="preserve"> </v>
      </c>
    </row>
    <row r="107" spans="1:33" ht="175.5" x14ac:dyDescent="0.25">
      <c r="A107" s="690">
        <f t="shared" si="3"/>
        <v>82</v>
      </c>
      <c r="B107" s="691" t="s">
        <v>170</v>
      </c>
      <c r="C107" s="692">
        <v>80101706</v>
      </c>
      <c r="D107" s="693" t="s">
        <v>526</v>
      </c>
      <c r="E107" s="691" t="s">
        <v>48</v>
      </c>
      <c r="F107" s="691">
        <v>1</v>
      </c>
      <c r="G107" s="694" t="s">
        <v>73</v>
      </c>
      <c r="H107" s="695">
        <v>5</v>
      </c>
      <c r="I107" s="691" t="s">
        <v>61</v>
      </c>
      <c r="J107" s="691" t="s">
        <v>66</v>
      </c>
      <c r="K107" s="691" t="s">
        <v>475</v>
      </c>
      <c r="L107" s="696">
        <v>43680000</v>
      </c>
      <c r="M107" s="697">
        <v>43680000</v>
      </c>
      <c r="N107" s="691" t="s">
        <v>51</v>
      </c>
      <c r="O107" s="691" t="s">
        <v>36</v>
      </c>
      <c r="P107" s="691" t="s">
        <v>527</v>
      </c>
      <c r="Q107" s="80"/>
      <c r="R107" s="698" t="str">
        <f>+IFERROR(VLOOKUP($A107,'[4]SEGUIMIENTO CONTRATOS 2018'!$A:$AJ,2,0)," ")</f>
        <v>027-2018</v>
      </c>
      <c r="S107" s="698" t="str">
        <f>+IFERROR(VLOOKUP($A107,'[4]SEGUIMIENTO CONTRATOS 2018'!$A:$AJ,3,0)," ")</f>
        <v>ALEXANDER MARQUEZ RIOS</v>
      </c>
      <c r="T107" s="751">
        <f>+IFERROR(VLOOKUP($A107,'[4]SEGUIMIENTO CONTRATOS 2018'!$A:$AJ,8,0)," ")</f>
        <v>43109</v>
      </c>
      <c r="U107" s="698" t="str">
        <f>+IFERROR(VLOOKUP($A107,'[4]SEGUIMIENTO CONTRATOS 2018'!$A:$AJ,9,0)," ")</f>
        <v>Prestar servicios profesionales en la Dirección de Empleo Publico de Función Pública para apoyar la implementación, revisión  y consolidación de los resultados del desarrollo de la política de Empleo Público y de la Gestión Estratégica del Talento Humano y proponer las recomendaciones y buenas prácticas que permitan hacer ajustes a las mismas.</v>
      </c>
      <c r="V107" s="698" t="str">
        <f>+IFERROR(VLOOKUP($A107,'[4]SEGUIMIENTO CONTRATOS 2018'!$A:$AJ,11,0)," ")</f>
        <v>PRESTACION DE SERVICIOS PROFESIONALES</v>
      </c>
      <c r="W107" s="752">
        <f>+IFERROR(VLOOKUP($A107,'[4]SEGUIMIENTO CONTRATOS 2018'!$A:$AJ,13,0),0)</f>
        <v>43680000</v>
      </c>
      <c r="X107" s="698">
        <f>+IFERROR(VLOOKUP($A107,'[4]SEGUIMIENTO CONTRATOS 2018'!$A:$AJ,14,0),0)</f>
        <v>0</v>
      </c>
      <c r="Y107" s="752">
        <f>+IFERROR(VLOOKUP($A107,'[4]SEGUIMIENTO CONTRATOS 2018'!$A:$AJ,15,0),0)</f>
        <v>43680000</v>
      </c>
      <c r="Z107" s="752">
        <f>+IFERROR(VLOOKUP($A107,'[4]SEGUIMIENTO CONTRATOS 2018'!$A:$AJ,15,0),0)</f>
        <v>43680000</v>
      </c>
      <c r="AA107" s="698" t="str">
        <f>+IFERROR(VLOOKUP($A107,'[4]SEGUIMIENTO CONTRATOS 2018'!$A:$AJ,16,0)," ")</f>
        <v>Cinco (5) mensualidades vencidas, cada una por valor de OCHO MILLONES SETECIENTOS TREINTA Y SEIS MIL PESOS ($8’736.000) M/CTE.</v>
      </c>
      <c r="AB107" s="698" t="str">
        <f>+IFERROR(VLOOKUP($A107,'[4]SEGUIMIENTO CONTRATOS 2018'!$A:$AL,38,0)," ")</f>
        <v xml:space="preserve">4218 </v>
      </c>
      <c r="AC107" s="698" t="str">
        <f>+IFERROR(VLOOKUP($A107,'[4]SEGUIMIENTO CONTRATOS 2018'!$A:$AJ,24,0)," ")</f>
        <v>Cinco (05) meses, contado a partir del perfeccionamiento del mismo y registro presupuestal.</v>
      </c>
      <c r="AD107" s="751">
        <f>+IFERROR(VLOOKUP($A107,'[4]SEGUIMIENTO CONTRATOS 2018'!$A:$AJ,25,0)," ")</f>
        <v>43112</v>
      </c>
      <c r="AE107" s="751">
        <f>+IFERROR(VLOOKUP($A107,'[4]SEGUIMIENTO CONTRATOS 2018'!$A:$AJ,26,0)," ")</f>
        <v>43262</v>
      </c>
      <c r="AF107" s="698" t="str">
        <f>+IFERROR(VLOOKUP($A107,'[4]SEGUIMIENTO CONTRATOS 2018'!$A:$AJ,30,0)," ")</f>
        <v>FRANCISCO ALFONSO CAMARGO SALAS</v>
      </c>
      <c r="AG107" s="698" t="str">
        <f>+IFERROR(VLOOKUP($A107,'[4]SEGUIMIENTO CONTRATOS 2018'!$A:$AJ,31,0)," ")</f>
        <v>DIRECCION DE EMPLEO PUBLICO</v>
      </c>
    </row>
    <row r="108" spans="1:33" ht="175.5" x14ac:dyDescent="0.25">
      <c r="A108" s="690">
        <f t="shared" si="3"/>
        <v>83</v>
      </c>
      <c r="B108" s="691" t="s">
        <v>170</v>
      </c>
      <c r="C108" s="692">
        <v>80101706</v>
      </c>
      <c r="D108" s="693" t="s">
        <v>526</v>
      </c>
      <c r="E108" s="691" t="s">
        <v>48</v>
      </c>
      <c r="F108" s="691">
        <v>1</v>
      </c>
      <c r="G108" s="694" t="s">
        <v>73</v>
      </c>
      <c r="H108" s="695">
        <v>5</v>
      </c>
      <c r="I108" s="691" t="s">
        <v>61</v>
      </c>
      <c r="J108" s="691" t="s">
        <v>66</v>
      </c>
      <c r="K108" s="691" t="s">
        <v>475</v>
      </c>
      <c r="L108" s="696">
        <v>40000000</v>
      </c>
      <c r="M108" s="697">
        <v>40000000</v>
      </c>
      <c r="N108" s="691" t="s">
        <v>51</v>
      </c>
      <c r="O108" s="691" t="s">
        <v>36</v>
      </c>
      <c r="P108" s="691" t="s">
        <v>527</v>
      </c>
      <c r="Q108" s="80"/>
      <c r="R108" s="698" t="str">
        <f>+IFERROR(VLOOKUP($A108,'[4]SEGUIMIENTO CONTRATOS 2018'!$A:$AJ,2,0)," ")</f>
        <v>077-2018</v>
      </c>
      <c r="S108" s="698" t="str">
        <f>+IFERROR(VLOOKUP($A108,'[4]SEGUIMIENTO CONTRATOS 2018'!$A:$AJ,3,0)," ")</f>
        <v>JASMITH ADRIANA ROJAS MARTINEZ</v>
      </c>
      <c r="T108" s="751">
        <f>+IFERROR(VLOOKUP($A108,'[4]SEGUIMIENTO CONTRATOS 2018'!$A:$AJ,8,0)," ")</f>
        <v>43115</v>
      </c>
      <c r="U108" s="698" t="str">
        <f>+IFERROR(VLOOKUP($A108,'[4]SEGUIMIENTO CONTRATOS 2018'!$A:$AJ,9,0)," ")</f>
        <v>Prestar servicios en la Dirección de Empleo Público de Función Pública para apoyar en la elaboración y actualización de los instrumentos técnicos para el desarrollo e implementación de la Política de Empleo Público y Gestión Estrategica del Tlento Humano; así como en la implementación y desarrollo de los diplomados en Alta Dirección del Estado.</v>
      </c>
      <c r="V108" s="698" t="str">
        <f>+IFERROR(VLOOKUP($A108,'[4]SEGUIMIENTO CONTRATOS 2018'!$A:$AJ,11,0)," ")</f>
        <v>PRESTACION DE SERVICIOS PROFESIONALES</v>
      </c>
      <c r="W108" s="752">
        <f>+IFERROR(VLOOKUP($A108,'[4]SEGUIMIENTO CONTRATOS 2018'!$A:$AJ,13,0),0)</f>
        <v>40000000</v>
      </c>
      <c r="X108" s="698">
        <f>+IFERROR(VLOOKUP($A108,'[4]SEGUIMIENTO CONTRATOS 2018'!$A:$AJ,14,0),0)</f>
        <v>0</v>
      </c>
      <c r="Y108" s="752">
        <f>+IFERROR(VLOOKUP($A108,'[4]SEGUIMIENTO CONTRATOS 2018'!$A:$AJ,15,0),0)</f>
        <v>40000000</v>
      </c>
      <c r="Z108" s="752">
        <f>+IFERROR(VLOOKUP($A108,'[4]SEGUIMIENTO CONTRATOS 2018'!$A:$AJ,15,0),0)</f>
        <v>40000000</v>
      </c>
      <c r="AA108" s="698" t="str">
        <f>+IFERROR(VLOOKUP($A108,'[4]SEGUIMIENTO CONTRATOS 2018'!$A:$AJ,16,0)," ")</f>
        <v>Cinco (5) mensualidades vencidas, cada una por valor de OCHO MILLONES DE PESOS ($8’000.000) M/CTE.</v>
      </c>
      <c r="AB108" s="698" t="str">
        <f>+IFERROR(VLOOKUP($A108,'[4]SEGUIMIENTO CONTRATOS 2018'!$A:$AL,38,0)," ")</f>
        <v xml:space="preserve">4318 </v>
      </c>
      <c r="AC108" s="698" t="str">
        <f>+IFERROR(VLOOKUP($A108,'[4]SEGUIMIENTO CONTRATOS 2018'!$A:$AJ,24,0)," ")</f>
        <v>Cinco (05) meses, contado a partir del perfeccionamiento del mismo y registro presupuestal.</v>
      </c>
      <c r="AD108" s="751">
        <f>+IFERROR(VLOOKUP($A108,'[4]SEGUIMIENTO CONTRATOS 2018'!$A:$AJ,25,0)," ")</f>
        <v>43117</v>
      </c>
      <c r="AE108" s="751">
        <f>+IFERROR(VLOOKUP($A108,'[4]SEGUIMIENTO CONTRATOS 2018'!$A:$AJ,26,0)," ")</f>
        <v>43267</v>
      </c>
      <c r="AF108" s="698" t="str">
        <f>+IFERROR(VLOOKUP($A108,'[4]SEGUIMIENTO CONTRATOS 2018'!$A:$AJ,30,0)," ")</f>
        <v>FRANCISCO ALFONSO CAMARGO SALAS</v>
      </c>
      <c r="AG108" s="698" t="str">
        <f>+IFERROR(VLOOKUP($A108,'[4]SEGUIMIENTO CONTRATOS 2018'!$A:$AJ,31,0)," ")</f>
        <v>DIRECCION DE EMPLEO PUBLICO</v>
      </c>
    </row>
    <row r="109" spans="1:33" ht="156" x14ac:dyDescent="0.25">
      <c r="A109" s="690">
        <f t="shared" si="3"/>
        <v>84</v>
      </c>
      <c r="B109" s="691" t="s">
        <v>520</v>
      </c>
      <c r="C109" s="692">
        <v>80101706</v>
      </c>
      <c r="D109" s="693" t="s">
        <v>521</v>
      </c>
      <c r="E109" s="691" t="s">
        <v>48</v>
      </c>
      <c r="F109" s="691">
        <v>1</v>
      </c>
      <c r="G109" s="694" t="s">
        <v>73</v>
      </c>
      <c r="H109" s="695">
        <v>5</v>
      </c>
      <c r="I109" s="691" t="s">
        <v>61</v>
      </c>
      <c r="J109" s="691" t="s">
        <v>35</v>
      </c>
      <c r="K109" s="691" t="s">
        <v>441</v>
      </c>
      <c r="L109" s="696">
        <v>30000000</v>
      </c>
      <c r="M109" s="697">
        <v>30000000</v>
      </c>
      <c r="N109" s="691" t="s">
        <v>51</v>
      </c>
      <c r="O109" s="691" t="s">
        <v>36</v>
      </c>
      <c r="P109" s="691" t="s">
        <v>477</v>
      </c>
      <c r="Q109" s="80"/>
      <c r="R109" s="698" t="str">
        <f>+IFERROR(VLOOKUP($A109,'[4]SEGUIMIENTO CONTRATOS 2018'!$A:$AJ,2,0)," ")</f>
        <v>033-2018</v>
      </c>
      <c r="S109" s="698" t="str">
        <f>+IFERROR(VLOOKUP($A109,'[4]SEGUIMIENTO CONTRATOS 2018'!$A:$AJ,3,0)," ")</f>
        <v>KAROL YOLIMA MERCHAN PARRA</v>
      </c>
      <c r="T109" s="751">
        <f>+IFERROR(VLOOKUP($A109,'[4]SEGUIMIENTO CONTRATOS 2018'!$A:$AJ,8,0)," ")</f>
        <v>43109</v>
      </c>
      <c r="U109" s="698" t="str">
        <f>+IFERROR(VLOOKUP($A109,'[4]SEGUIMIENTO CONTRATOS 2018'!$A:$AJ,9,0)," ")</f>
        <v>Prestar servicios profesionales en el Grupo de Gestión Documental de Función Pública, para apoyar la actualización e implementación de instrumentos archivisticos de la entidad, asi como para verificar los requerimientos funcionales del sistema de gestión de documentos electronicos de archivo.</v>
      </c>
      <c r="V109" s="698" t="str">
        <f>+IFERROR(VLOOKUP($A109,'[4]SEGUIMIENTO CONTRATOS 2018'!$A:$AJ,11,0)," ")</f>
        <v>PRESTACION DE SERVICIOS PROFESIONALES</v>
      </c>
      <c r="W109" s="752">
        <f>+IFERROR(VLOOKUP($A109,'[4]SEGUIMIENTO CONTRATOS 2018'!$A:$AJ,13,0),0)</f>
        <v>30000000</v>
      </c>
      <c r="X109" s="698">
        <f>+IFERROR(VLOOKUP($A109,'[4]SEGUIMIENTO CONTRATOS 2018'!$A:$AJ,14,0),0)</f>
        <v>0</v>
      </c>
      <c r="Y109" s="752">
        <f>+IFERROR(VLOOKUP($A109,'[4]SEGUIMIENTO CONTRATOS 2018'!$A:$AJ,15,0),0)</f>
        <v>30000000</v>
      </c>
      <c r="Z109" s="752">
        <f>+IFERROR(VLOOKUP($A109,'[4]SEGUIMIENTO CONTRATOS 2018'!$A:$AJ,15,0),0)</f>
        <v>30000000</v>
      </c>
      <c r="AA109" s="698" t="str">
        <f>+IFERROR(VLOOKUP($A109,'[4]SEGUIMIENTO CONTRATOS 2018'!$A:$AJ,16,0)," ")</f>
        <v>Seis (6) mensualidades vencidas, cada una por valor de CINCO MILLONES PESOS ($5’000.000) M/CTE.</v>
      </c>
      <c r="AB109" s="698" t="str">
        <f>+IFERROR(VLOOKUP($A109,'[4]SEGUIMIENTO CONTRATOS 2018'!$A:$AL,38,0)," ")</f>
        <v xml:space="preserve">4418 </v>
      </c>
      <c r="AC109" s="698" t="str">
        <f>+IFERROR(VLOOKUP($A109,'[4]SEGUIMIENTO CONTRATOS 2018'!$A:$AJ,24,0)," ")</f>
        <v>Seis (06) meses, contado a partir del perfeccionamiento del mismo y registro presupuestal.</v>
      </c>
      <c r="AD109" s="751">
        <f>+IFERROR(VLOOKUP($A109,'[4]SEGUIMIENTO CONTRATOS 2018'!$A:$AJ,25,0)," ")</f>
        <v>43109</v>
      </c>
      <c r="AE109" s="751">
        <f>+IFERROR(VLOOKUP($A109,'[4]SEGUIMIENTO CONTRATOS 2018'!$A:$AJ,26,0)," ")</f>
        <v>43289</v>
      </c>
      <c r="AF109" s="698" t="str">
        <f>+IFERROR(VLOOKUP($A109,'[4]SEGUIMIENTO CONTRATOS 2018'!$A:$AJ,30,0)," ")</f>
        <v>JUDY MAGALI RODRIGUEZ SANTANA</v>
      </c>
      <c r="AG109" s="698" t="str">
        <f>+IFERROR(VLOOKUP($A109,'[4]SEGUIMIENTO CONTRATOS 2018'!$A:$AJ,31,0)," ")</f>
        <v>GRUPO DE GESTION DOCUMENTAL</v>
      </c>
    </row>
    <row r="110" spans="1:33" ht="117" x14ac:dyDescent="0.25">
      <c r="A110" s="690">
        <f t="shared" si="3"/>
        <v>85</v>
      </c>
      <c r="B110" s="691" t="s">
        <v>264</v>
      </c>
      <c r="C110" s="692">
        <v>80101706</v>
      </c>
      <c r="D110" s="693" t="s">
        <v>522</v>
      </c>
      <c r="E110" s="691" t="s">
        <v>48</v>
      </c>
      <c r="F110" s="691">
        <v>1</v>
      </c>
      <c r="G110" s="694" t="s">
        <v>73</v>
      </c>
      <c r="H110" s="695" t="s">
        <v>202</v>
      </c>
      <c r="I110" s="691" t="s">
        <v>61</v>
      </c>
      <c r="J110" s="691" t="s">
        <v>35</v>
      </c>
      <c r="K110" s="691" t="s">
        <v>441</v>
      </c>
      <c r="L110" s="696">
        <v>32320200</v>
      </c>
      <c r="M110" s="697">
        <v>32320200</v>
      </c>
      <c r="N110" s="691" t="s">
        <v>51</v>
      </c>
      <c r="O110" s="691" t="s">
        <v>36</v>
      </c>
      <c r="P110" s="691" t="s">
        <v>320</v>
      </c>
      <c r="Q110" s="80"/>
      <c r="R110" s="698" t="str">
        <f>+IFERROR(VLOOKUP($A110,'[4]SEGUIMIENTO CONTRATOS 2018'!$A:$AJ,2,0)," ")</f>
        <v>009-2018</v>
      </c>
      <c r="S110" s="698" t="str">
        <f>+IFERROR(VLOOKUP($A110,'[4]SEGUIMIENTO CONTRATOS 2018'!$A:$AJ,3,0)," ")</f>
        <v>GABRIEL EDUARDO ISIDRO RAMOS</v>
      </c>
      <c r="T110" s="751">
        <f>+IFERROR(VLOOKUP($A110,'[4]SEGUIMIENTO CONTRATOS 2018'!$A:$AJ,8,0)," ")</f>
        <v>43109</v>
      </c>
      <c r="U110" s="698" t="str">
        <f>+IFERROR(VLOOKUP($A110,'[4]SEGUIMIENTO CONTRATOS 2018'!$A:$AJ,9,0)," ")</f>
        <v>Prestar servicios profesionales en Función Püblica para apoyar a la Entidad en materia de Gestión Ambiental, con el fin de dar cumplimiento a la normativa vigente, según lo contemplado den el Plan de Austeridad y Gestión Ambiental de la Entidad.</v>
      </c>
      <c r="V110" s="698" t="str">
        <f>+IFERROR(VLOOKUP($A110,'[4]SEGUIMIENTO CONTRATOS 2018'!$A:$AJ,11,0)," ")</f>
        <v>PRESTACION DE SERVICIOS PROFESIONALES</v>
      </c>
      <c r="W110" s="752">
        <f>+IFERROR(VLOOKUP($A110,'[4]SEGUIMIENTO CONTRATOS 2018'!$A:$AJ,13,0),0)</f>
        <v>32320200</v>
      </c>
      <c r="X110" s="698">
        <f>+IFERROR(VLOOKUP($A110,'[4]SEGUIMIENTO CONTRATOS 2018'!$A:$AJ,14,0),0)</f>
        <v>0</v>
      </c>
      <c r="Y110" s="752">
        <f>+IFERROR(VLOOKUP($A110,'[4]SEGUIMIENTO CONTRATOS 2018'!$A:$AJ,15,0),0)</f>
        <v>32320200</v>
      </c>
      <c r="Z110" s="752">
        <f>+IFERROR(VLOOKUP($A110,'[4]SEGUIMIENTO CONTRATOS 2018'!$A:$AJ,15,0),0)</f>
        <v>32320200</v>
      </c>
      <c r="AA110" s="698" t="str">
        <f>+IFERROR(VLOOKUP($A110,'[4]SEGUIMIENTO CONTRATOS 2018'!$A:$AJ,16,0)," ")</f>
        <v>Seis (6) mensualidades vencidas, cada una por valor de CINCO MILLONES TRESCIENTOS OCHENTA Y SEIS MIL SETECIENTOS PESOS ($5’386.700) M/CTE.</v>
      </c>
      <c r="AB110" s="698" t="str">
        <f>+IFERROR(VLOOKUP($A110,'[4]SEGUIMIENTO CONTRATOS 2018'!$A:$AL,38,0)," ")</f>
        <v xml:space="preserve">4518 </v>
      </c>
      <c r="AC110" s="698" t="str">
        <f>+IFERROR(VLOOKUP($A110,'[4]SEGUIMIENTO CONTRATOS 2018'!$A:$AJ,24,0)," ")</f>
        <v>Seis (06) meses, contado a partir del perfeccionamiento del mismo y registro presupuestal.</v>
      </c>
      <c r="AD110" s="751">
        <f>+IFERROR(VLOOKUP($A110,'[4]SEGUIMIENTO CONTRATOS 2018'!$A:$AJ,25,0)," ")</f>
        <v>43109</v>
      </c>
      <c r="AE110" s="751">
        <f>+IFERROR(VLOOKUP($A110,'[4]SEGUIMIENTO CONTRATOS 2018'!$A:$AJ,26,0)," ")</f>
        <v>43289</v>
      </c>
      <c r="AF110" s="698" t="str">
        <f>+IFERROR(VLOOKUP($A110,'[4]SEGUIMIENTO CONTRATOS 2018'!$A:$AJ,30,0)," ")</f>
        <v>JULIAN MAURICIO MARTINEZ ALVARADO</v>
      </c>
      <c r="AG110" s="698" t="str">
        <f>+IFERROR(VLOOKUP($A110,'[4]SEGUIMIENTO CONTRATOS 2018'!$A:$AJ,31,0)," ")</f>
        <v xml:space="preserve">GRUPO DE GESTION ADMINISTRATIVA </v>
      </c>
    </row>
    <row r="111" spans="1:33" ht="117" x14ac:dyDescent="0.25">
      <c r="A111" s="690">
        <f t="shared" si="3"/>
        <v>86</v>
      </c>
      <c r="B111" s="691" t="s">
        <v>523</v>
      </c>
      <c r="C111" s="692">
        <v>80101706</v>
      </c>
      <c r="D111" s="693" t="s">
        <v>524</v>
      </c>
      <c r="E111" s="691" t="s">
        <v>48</v>
      </c>
      <c r="F111" s="691">
        <v>1</v>
      </c>
      <c r="G111" s="694" t="s">
        <v>73</v>
      </c>
      <c r="H111" s="695">
        <v>5</v>
      </c>
      <c r="I111" s="691" t="s">
        <v>61</v>
      </c>
      <c r="J111" s="691" t="s">
        <v>66</v>
      </c>
      <c r="K111" s="691" t="s">
        <v>495</v>
      </c>
      <c r="L111" s="696">
        <v>56450000</v>
      </c>
      <c r="M111" s="697">
        <v>56450000</v>
      </c>
      <c r="N111" s="691" t="s">
        <v>51</v>
      </c>
      <c r="O111" s="691" t="s">
        <v>36</v>
      </c>
      <c r="P111" s="691" t="s">
        <v>525</v>
      </c>
      <c r="Q111" s="80"/>
      <c r="R111" s="698" t="str">
        <f>+IFERROR(VLOOKUP($A111,'[4]SEGUIMIENTO CONTRATOS 2018'!$A:$AJ,2,0)," ")</f>
        <v>013-2018</v>
      </c>
      <c r="S111" s="698" t="str">
        <f>+IFERROR(VLOOKUP($A111,'[4]SEGUIMIENTO CONTRATOS 2018'!$A:$AJ,3,0)," ")</f>
        <v>CLARA INES COLLAZOS MARTINEZ</v>
      </c>
      <c r="T111" s="751">
        <f>+IFERROR(VLOOKUP($A111,'[4]SEGUIMIENTO CONTRATOS 2018'!$A:$AJ,8,0)," ")</f>
        <v>43109</v>
      </c>
      <c r="U111" s="698" t="str">
        <f>+IFERROR(VLOOKUP($A111,'[4]SEGUIMIENTO CONTRATOS 2018'!$A:$AJ,9,0)," ")</f>
        <v>Prestar servicios profesionales en la Dirección de Deasarrollo Organizacional de Función Pública  para apoyar la implementación, seguimiento, monitoreo y evaluación de tercera fase de la Estrategía de Gestión Territorial.</v>
      </c>
      <c r="V111" s="698" t="str">
        <f>+IFERROR(VLOOKUP($A111,'[4]SEGUIMIENTO CONTRATOS 2018'!$A:$AJ,11,0)," ")</f>
        <v>PRESTACION DE SERVICIOS PROFESIONALES</v>
      </c>
      <c r="W111" s="752">
        <f>+IFERROR(VLOOKUP($A111,'[4]SEGUIMIENTO CONTRATOS 2018'!$A:$AJ,13,0),0)</f>
        <v>56450000</v>
      </c>
      <c r="X111" s="698">
        <f>+IFERROR(VLOOKUP($A111,'[4]SEGUIMIENTO CONTRATOS 2018'!$A:$AJ,14,0),0)</f>
        <v>0</v>
      </c>
      <c r="Y111" s="752">
        <f>+IFERROR(VLOOKUP($A111,'[4]SEGUIMIENTO CONTRATOS 2018'!$A:$AJ,15,0),0)</f>
        <v>56450000</v>
      </c>
      <c r="Z111" s="752">
        <f>+IFERROR(VLOOKUP($A111,'[4]SEGUIMIENTO CONTRATOS 2018'!$A:$AJ,15,0),0)</f>
        <v>56450000</v>
      </c>
      <c r="AA111" s="698" t="str">
        <f>+IFERROR(VLOOKUP($A111,'[4]SEGUIMIENTO CONTRATOS 2018'!$A:$AJ,16,0)," ")</f>
        <v>Cinco (5) mensualidades vencidas, cada una por valor de ONCE MILLONES DOSCIENTOS NOVENTA MIL PESOS ($11’290.000) M/CTE.</v>
      </c>
      <c r="AB111" s="698" t="str">
        <f>+IFERROR(VLOOKUP($A111,'[4]SEGUIMIENTO CONTRATOS 2018'!$A:$AL,38,0)," ")</f>
        <v xml:space="preserve">4618 </v>
      </c>
      <c r="AC111" s="698" t="str">
        <f>+IFERROR(VLOOKUP($A111,'[4]SEGUIMIENTO CONTRATOS 2018'!$A:$AJ,24,0)," ")</f>
        <v>Cinco (05) meses, contado a partir del perfeccionamiento del mismo y registro presupuestal.</v>
      </c>
      <c r="AD111" s="751">
        <f>+IFERROR(VLOOKUP($A111,'[4]SEGUIMIENTO CONTRATOS 2018'!$A:$AJ,25,0)," ")</f>
        <v>43109</v>
      </c>
      <c r="AE111" s="751">
        <f>+IFERROR(VLOOKUP($A111,'[4]SEGUIMIENTO CONTRATOS 2018'!$A:$AJ,26,0)," ")</f>
        <v>43259</v>
      </c>
      <c r="AF111" s="698" t="str">
        <f>+IFERROR(VLOOKUP($A111,'[4]SEGUIMIENTO CONTRATOS 2018'!$A:$AJ,30,0)," ")</f>
        <v>ALEJANDRO BECKER ROJAS</v>
      </c>
      <c r="AG111" s="698" t="str">
        <f>+IFERROR(VLOOKUP($A111,'[4]SEGUIMIENTO CONTRATOS 2018'!$A:$AJ,31,0)," ")</f>
        <v xml:space="preserve">DIRECCION DE DESARROLLO ORGANIZACIONAL  </v>
      </c>
    </row>
    <row r="112" spans="1:33" ht="136.5" x14ac:dyDescent="0.25">
      <c r="A112" s="690">
        <f t="shared" si="3"/>
        <v>87</v>
      </c>
      <c r="B112" s="691" t="s">
        <v>523</v>
      </c>
      <c r="C112" s="692">
        <v>80101706</v>
      </c>
      <c r="D112" s="693" t="s">
        <v>524</v>
      </c>
      <c r="E112" s="691" t="s">
        <v>48</v>
      </c>
      <c r="F112" s="691">
        <v>1</v>
      </c>
      <c r="G112" s="694" t="s">
        <v>73</v>
      </c>
      <c r="H112" s="695">
        <v>5</v>
      </c>
      <c r="I112" s="691" t="s">
        <v>61</v>
      </c>
      <c r="J112" s="691" t="s">
        <v>66</v>
      </c>
      <c r="K112" s="691" t="s">
        <v>495</v>
      </c>
      <c r="L112" s="696">
        <v>25040000</v>
      </c>
      <c r="M112" s="697">
        <v>25040000</v>
      </c>
      <c r="N112" s="691" t="s">
        <v>51</v>
      </c>
      <c r="O112" s="691" t="s">
        <v>36</v>
      </c>
      <c r="P112" s="691" t="s">
        <v>525</v>
      </c>
      <c r="Q112" s="80"/>
      <c r="R112" s="698" t="str">
        <f>+IFERROR(VLOOKUP($A112,'[4]SEGUIMIENTO CONTRATOS 2018'!$A:$AJ,2,0)," ")</f>
        <v>029-2018</v>
      </c>
      <c r="S112" s="698" t="str">
        <f>+IFERROR(VLOOKUP($A112,'[4]SEGUIMIENTO CONTRATOS 2018'!$A:$AJ,3,0)," ")</f>
        <v>ROSA MARIA BOLAÑOS TOVAR</v>
      </c>
      <c r="T112" s="751">
        <f>+IFERROR(VLOOKUP($A112,'[4]SEGUIMIENTO CONTRATOS 2018'!$A:$AJ,8,0)," ")</f>
        <v>43109</v>
      </c>
      <c r="U112" s="698" t="str">
        <f>+IFERROR(VLOOKUP($A112,'[4]SEGUIMIENTO CONTRATOS 2018'!$A:$AJ,9,0)," ")</f>
        <v>Prestar servicios profesionales en la Dirección de Deasarrollo Organizacional de Función Pública, para apoyar la implementación de la Estrategía de Gestión Territorial, en materia de seguimiento a la ejecución de metas y recursos, asi como frente al control de las asesorías.</v>
      </c>
      <c r="V112" s="698" t="str">
        <f>+IFERROR(VLOOKUP($A112,'[4]SEGUIMIENTO CONTRATOS 2018'!$A:$AJ,11,0)," ")</f>
        <v>PRESTACION DE SERVICIOS PROFESIONALES</v>
      </c>
      <c r="W112" s="752">
        <f>+IFERROR(VLOOKUP($A112,'[4]SEGUIMIENTO CONTRATOS 2018'!$A:$AJ,13,0),0)</f>
        <v>25040000</v>
      </c>
      <c r="X112" s="698">
        <f>+IFERROR(VLOOKUP($A112,'[4]SEGUIMIENTO CONTRATOS 2018'!$A:$AJ,14,0),0)</f>
        <v>0</v>
      </c>
      <c r="Y112" s="752">
        <f>+IFERROR(VLOOKUP($A112,'[4]SEGUIMIENTO CONTRATOS 2018'!$A:$AJ,15,0),0)</f>
        <v>25040000</v>
      </c>
      <c r="Z112" s="752">
        <f>+IFERROR(VLOOKUP($A112,'[4]SEGUIMIENTO CONTRATOS 2018'!$A:$AJ,15,0),0)</f>
        <v>25040000</v>
      </c>
      <c r="AA112" s="698" t="str">
        <f>+IFERROR(VLOOKUP($A112,'[4]SEGUIMIENTO CONTRATOS 2018'!$A:$AJ,16,0)," ")</f>
        <v>Cinco (5) mensualidades vencidas, cada una por valor de CIINCO MILLONES OCHO MIL PESOS ($5’008.000) M/CTE.</v>
      </c>
      <c r="AB112" s="698" t="str">
        <f>+IFERROR(VLOOKUP($A112,'[4]SEGUIMIENTO CONTRATOS 2018'!$A:$AL,38,0)," ")</f>
        <v xml:space="preserve">4718 </v>
      </c>
      <c r="AC112" s="698" t="str">
        <f>+IFERROR(VLOOKUP($A112,'[4]SEGUIMIENTO CONTRATOS 2018'!$A:$AJ,24,0)," ")</f>
        <v>Cinco (05) meses, contado a partir del perfeccionamiento del mismo y registro presupuestal.</v>
      </c>
      <c r="AD112" s="751">
        <f>+IFERROR(VLOOKUP($A112,'[4]SEGUIMIENTO CONTRATOS 2018'!$A:$AJ,25,0)," ")</f>
        <v>43110</v>
      </c>
      <c r="AE112" s="751">
        <f>+IFERROR(VLOOKUP($A112,'[4]SEGUIMIENTO CONTRATOS 2018'!$A:$AJ,26,0)," ")</f>
        <v>43260</v>
      </c>
      <c r="AF112" s="698" t="str">
        <f>+IFERROR(VLOOKUP($A112,'[4]SEGUIMIENTO CONTRATOS 2018'!$A:$AJ,30,0)," ")</f>
        <v>ALEJANDRO BECKER ROJAS</v>
      </c>
      <c r="AG112" s="698" t="str">
        <f>+IFERROR(VLOOKUP($A112,'[4]SEGUIMIENTO CONTRATOS 2018'!$A:$AJ,31,0)," ")</f>
        <v xml:space="preserve">DIRECCION DE DESARROLLO ORGANIZACIONAL  </v>
      </c>
    </row>
    <row r="113" spans="1:33" ht="195" x14ac:dyDescent="0.25">
      <c r="A113" s="690">
        <f t="shared" si="3"/>
        <v>88</v>
      </c>
      <c r="B113" s="691" t="s">
        <v>523</v>
      </c>
      <c r="C113" s="692">
        <v>80101706</v>
      </c>
      <c r="D113" s="693" t="s">
        <v>524</v>
      </c>
      <c r="E113" s="691" t="s">
        <v>48</v>
      </c>
      <c r="F113" s="691">
        <v>1</v>
      </c>
      <c r="G113" s="694" t="s">
        <v>73</v>
      </c>
      <c r="H113" s="695">
        <v>5</v>
      </c>
      <c r="I113" s="691" t="s">
        <v>61</v>
      </c>
      <c r="J113" s="691" t="s">
        <v>66</v>
      </c>
      <c r="K113" s="691" t="s">
        <v>495</v>
      </c>
      <c r="L113" s="696">
        <v>45000000</v>
      </c>
      <c r="M113" s="697">
        <v>45000000</v>
      </c>
      <c r="N113" s="691" t="s">
        <v>51</v>
      </c>
      <c r="O113" s="691" t="s">
        <v>36</v>
      </c>
      <c r="P113" s="691" t="s">
        <v>525</v>
      </c>
      <c r="Q113" s="80"/>
      <c r="R113" s="698" t="str">
        <f>+IFERROR(VLOOKUP($A113,'[4]SEGUIMIENTO CONTRATOS 2018'!$A:$AJ,2,0)," ")</f>
        <v>032-2018</v>
      </c>
      <c r="S113" s="698" t="str">
        <f>+IFERROR(VLOOKUP($A113,'[4]SEGUIMIENTO CONTRATOS 2018'!$A:$AJ,3,0)," ")</f>
        <v>LINA MARÍA AYCARDI ALDANA</v>
      </c>
      <c r="T113" s="751">
        <f>+IFERROR(VLOOKUP($A113,'[4]SEGUIMIENTO CONTRATOS 2018'!$A:$AJ,8,0)," ")</f>
        <v>43109</v>
      </c>
      <c r="U113" s="698" t="str">
        <f>+IFERROR(VLOOKUP($A113,'[4]SEGUIMIENTO CONTRATOS 2018'!$A:$AJ,9,0)," ")</f>
        <v>Prestar servicios profesionales en la Dirección de Desarrollo Organizacional de Función Pública, para apoyar la implementación de la tercera fase de la Estrategia de Desarrollo de Capacidad de entidades públicas, a través de la elaboración de propuestas de rediseños, a partir de la estructuración y el aprovechamiento de análisis sectoriales en el marco del postconflicto.</v>
      </c>
      <c r="V113" s="698" t="str">
        <f>+IFERROR(VLOOKUP($A113,'[4]SEGUIMIENTO CONTRATOS 2018'!$A:$AJ,11,0)," ")</f>
        <v>PRESTACION DE SERVICIOS PROFESIONALES</v>
      </c>
      <c r="W113" s="752">
        <f>+IFERROR(VLOOKUP($A113,'[4]SEGUIMIENTO CONTRATOS 2018'!$A:$AJ,13,0),0)</f>
        <v>45000000</v>
      </c>
      <c r="X113" s="698">
        <f>+IFERROR(VLOOKUP($A113,'[4]SEGUIMIENTO CONTRATOS 2018'!$A:$AJ,14,0),0)</f>
        <v>0</v>
      </c>
      <c r="Y113" s="752">
        <f>+IFERROR(VLOOKUP($A113,'[4]SEGUIMIENTO CONTRATOS 2018'!$A:$AJ,15,0),0)</f>
        <v>45000000</v>
      </c>
      <c r="Z113" s="752">
        <f>+IFERROR(VLOOKUP($A113,'[4]SEGUIMIENTO CONTRATOS 2018'!$A:$AJ,15,0),0)</f>
        <v>45000000</v>
      </c>
      <c r="AA113" s="698" t="str">
        <f>+IFERROR(VLOOKUP($A113,'[4]SEGUIMIENTO CONTRATOS 2018'!$A:$AJ,16,0)," ")</f>
        <v>Cinco (5) mensualidades vencidas, cada una por valor de NUEVE MILLONES DE PESOS ($9.000.000) M/CTE</v>
      </c>
      <c r="AB113" s="698" t="str">
        <f>+IFERROR(VLOOKUP($A113,'[4]SEGUIMIENTO CONTRATOS 2018'!$A:$AL,38,0)," ")</f>
        <v xml:space="preserve">4818 </v>
      </c>
      <c r="AC113" s="698" t="str">
        <f>+IFERROR(VLOOKUP($A113,'[4]SEGUIMIENTO CONTRATOS 2018'!$A:$AJ,24,0)," ")</f>
        <v>Cinco (05) meses, contado a partir del perfeccionamiento del mismo y registro presupuestal.</v>
      </c>
      <c r="AD113" s="751">
        <f>+IFERROR(VLOOKUP($A113,'[4]SEGUIMIENTO CONTRATOS 2018'!$A:$AJ,25,0)," ")</f>
        <v>43115</v>
      </c>
      <c r="AE113" s="751">
        <f>+IFERROR(VLOOKUP($A113,'[4]SEGUIMIENTO CONTRATOS 2018'!$A:$AJ,26,0)," ")</f>
        <v>43265</v>
      </c>
      <c r="AF113" s="698" t="str">
        <f>+IFERROR(VLOOKUP($A113,'[4]SEGUIMIENTO CONTRATOS 2018'!$A:$AJ,30,0)," ")</f>
        <v>ALEJANDRO BECKER ROJAS</v>
      </c>
      <c r="AG113" s="698" t="str">
        <f>+IFERROR(VLOOKUP($A113,'[4]SEGUIMIENTO CONTRATOS 2018'!$A:$AJ,31,0)," ")</f>
        <v xml:space="preserve">DIRECCION DE DESARROLLO ORGANIZACIONAL  </v>
      </c>
    </row>
    <row r="114" spans="1:33" ht="136.5" x14ac:dyDescent="0.25">
      <c r="A114" s="690">
        <f t="shared" si="3"/>
        <v>89</v>
      </c>
      <c r="B114" s="691" t="s">
        <v>523</v>
      </c>
      <c r="C114" s="692">
        <v>80101706</v>
      </c>
      <c r="D114" s="693" t="s">
        <v>524</v>
      </c>
      <c r="E114" s="691" t="s">
        <v>48</v>
      </c>
      <c r="F114" s="691">
        <v>1</v>
      </c>
      <c r="G114" s="694" t="s">
        <v>73</v>
      </c>
      <c r="H114" s="695">
        <v>5</v>
      </c>
      <c r="I114" s="691" t="s">
        <v>61</v>
      </c>
      <c r="J114" s="691" t="s">
        <v>66</v>
      </c>
      <c r="K114" s="691" t="s">
        <v>495</v>
      </c>
      <c r="L114" s="696">
        <v>35830000</v>
      </c>
      <c r="M114" s="697">
        <v>35830000</v>
      </c>
      <c r="N114" s="691" t="s">
        <v>51</v>
      </c>
      <c r="O114" s="691" t="s">
        <v>36</v>
      </c>
      <c r="P114" s="691" t="s">
        <v>525</v>
      </c>
      <c r="Q114" s="80"/>
      <c r="R114" s="698" t="str">
        <f>+IFERROR(VLOOKUP($A114,'[4]SEGUIMIENTO CONTRATOS 2018'!$A:$AJ,2,0)," ")</f>
        <v>031-2018</v>
      </c>
      <c r="S114" s="698" t="str">
        <f>+IFERROR(VLOOKUP($A114,'[4]SEGUIMIENTO CONTRATOS 2018'!$A:$AJ,3,0)," ")</f>
        <v>JAIME ANDRES URAZAN LEAL</v>
      </c>
      <c r="T114" s="751">
        <f>+IFERROR(VLOOKUP($A114,'[4]SEGUIMIENTO CONTRATOS 2018'!$A:$AJ,8,0)," ")</f>
        <v>43109</v>
      </c>
      <c r="U114" s="698" t="str">
        <f>+IFERROR(VLOOKUP($A114,'[4]SEGUIMIENTO CONTRATOS 2018'!$A:$AJ,9,0)," ")</f>
        <v>Prestar servicios profesionales en la Dirección de Deasarrollo Organizacional de Función Pública, para apoyar los aspectos técnicos, metodológicos y financieros relacionados con la implementación de la tercera fase de la Estrategia de Gestión Territorial.</v>
      </c>
      <c r="V114" s="698" t="str">
        <f>+IFERROR(VLOOKUP($A114,'[4]SEGUIMIENTO CONTRATOS 2018'!$A:$AJ,11,0)," ")</f>
        <v>PRESTACION DE SERVICIOS PROFESIONALES</v>
      </c>
      <c r="W114" s="752">
        <f>+IFERROR(VLOOKUP($A114,'[4]SEGUIMIENTO CONTRATOS 2018'!$A:$AJ,13,0),0)</f>
        <v>35830000</v>
      </c>
      <c r="X114" s="698">
        <f>+IFERROR(VLOOKUP($A114,'[4]SEGUIMIENTO CONTRATOS 2018'!$A:$AJ,14,0),0)</f>
        <v>0</v>
      </c>
      <c r="Y114" s="752">
        <f>+IFERROR(VLOOKUP($A114,'[4]SEGUIMIENTO CONTRATOS 2018'!$A:$AJ,15,0),0)</f>
        <v>35830000</v>
      </c>
      <c r="Z114" s="752">
        <f>+IFERROR(VLOOKUP($A114,'[4]SEGUIMIENTO CONTRATOS 2018'!$A:$AJ,15,0),0)</f>
        <v>35830000</v>
      </c>
      <c r="AA114" s="698" t="str">
        <f>+IFERROR(VLOOKUP($A114,'[4]SEGUIMIENTO CONTRATOS 2018'!$A:$AJ,16,0)," ")</f>
        <v>Cinco (5) mensualidades vencidas, cada una por valor de SIETE MILLONES CIENTO SESENTA Y SEIS MIL PESOS ($7’166.000) M/CTE.</v>
      </c>
      <c r="AB114" s="698" t="str">
        <f>+IFERROR(VLOOKUP($A114,'[4]SEGUIMIENTO CONTRATOS 2018'!$A:$AL,38,0)," ")</f>
        <v xml:space="preserve">4918 </v>
      </c>
      <c r="AC114" s="698" t="str">
        <f>+IFERROR(VLOOKUP($A114,'[4]SEGUIMIENTO CONTRATOS 2018'!$A:$AJ,24,0)," ")</f>
        <v>Cinco (05) meses, contado a partir del perfeccionamiento del mismo y registro presupuestal.</v>
      </c>
      <c r="AD114" s="751">
        <f>+IFERROR(VLOOKUP($A114,'[4]SEGUIMIENTO CONTRATOS 2018'!$A:$AJ,25,0)," ")</f>
        <v>43110</v>
      </c>
      <c r="AE114" s="751">
        <f>+IFERROR(VLOOKUP($A114,'[4]SEGUIMIENTO CONTRATOS 2018'!$A:$AJ,26,0)," ")</f>
        <v>43260</v>
      </c>
      <c r="AF114" s="698" t="str">
        <f>+IFERROR(VLOOKUP($A114,'[4]SEGUIMIENTO CONTRATOS 2018'!$A:$AJ,30,0)," ")</f>
        <v>ALEJANDRO BECKER ROJAS</v>
      </c>
      <c r="AG114" s="698" t="str">
        <f>+IFERROR(VLOOKUP($A114,'[4]SEGUIMIENTO CONTRATOS 2018'!$A:$AJ,31,0)," ")</f>
        <v xml:space="preserve">DIRECCION DE DESARROLLO ORGANIZACIONAL  </v>
      </c>
    </row>
    <row r="115" spans="1:33" ht="156" x14ac:dyDescent="0.25">
      <c r="A115" s="690">
        <f t="shared" si="3"/>
        <v>90</v>
      </c>
      <c r="B115" s="691" t="s">
        <v>523</v>
      </c>
      <c r="C115" s="692">
        <v>80101706</v>
      </c>
      <c r="D115" s="693" t="s">
        <v>524</v>
      </c>
      <c r="E115" s="691" t="s">
        <v>48</v>
      </c>
      <c r="F115" s="691">
        <v>1</v>
      </c>
      <c r="G115" s="694" t="s">
        <v>73</v>
      </c>
      <c r="H115" s="695">
        <v>5</v>
      </c>
      <c r="I115" s="691" t="s">
        <v>61</v>
      </c>
      <c r="J115" s="691" t="s">
        <v>66</v>
      </c>
      <c r="K115" s="691" t="s">
        <v>495</v>
      </c>
      <c r="L115" s="696">
        <v>14000000</v>
      </c>
      <c r="M115" s="697">
        <v>14000000</v>
      </c>
      <c r="N115" s="691" t="s">
        <v>51</v>
      </c>
      <c r="O115" s="691" t="s">
        <v>36</v>
      </c>
      <c r="P115" s="691" t="s">
        <v>525</v>
      </c>
      <c r="Q115" s="80"/>
      <c r="R115" s="698" t="str">
        <f>+IFERROR(VLOOKUP($A115,'[4]SEGUIMIENTO CONTRATOS 2018'!$A:$AJ,2,0)," ")</f>
        <v>050-2018</v>
      </c>
      <c r="S115" s="698" t="str">
        <f>+IFERROR(VLOOKUP($A115,'[4]SEGUIMIENTO CONTRATOS 2018'!$A:$AJ,3,0)," ")</f>
        <v>DORIS JULIETA GONZÁLEZ AREVALO</v>
      </c>
      <c r="T115" s="751">
        <f>+IFERROR(VLOOKUP($A115,'[4]SEGUIMIENTO CONTRATOS 2018'!$A:$AJ,8,0)," ")</f>
        <v>43110</v>
      </c>
      <c r="U115" s="698" t="str">
        <f>+IFERROR(VLOOKUP($A115,'[4]SEGUIMIENTO CONTRATOS 2018'!$A:$AJ,9,0)," ")</f>
        <v>Prestar servicios profesionales en Función Pública para apoyar los trámites administrativos requeridos para el otorgamiento de comisiones de servicio y desplazamientos de servidores y contratistas al interior del país, para iniciar la ejecución de la tercera fase de la Estrategia de Gestiín Territorial.</v>
      </c>
      <c r="V115" s="698" t="str">
        <f>+IFERROR(VLOOKUP($A115,'[4]SEGUIMIENTO CONTRATOS 2018'!$A:$AJ,11,0)," ")</f>
        <v>PRESTACION DE SERVICIOS PROFESIONALES</v>
      </c>
      <c r="W115" s="752">
        <f>+IFERROR(VLOOKUP($A115,'[4]SEGUIMIENTO CONTRATOS 2018'!$A:$AJ,13,0),0)</f>
        <v>14000000</v>
      </c>
      <c r="X115" s="698">
        <f>+IFERROR(VLOOKUP($A115,'[4]SEGUIMIENTO CONTRATOS 2018'!$A:$AJ,14,0),0)</f>
        <v>0</v>
      </c>
      <c r="Y115" s="752">
        <f>+IFERROR(VLOOKUP($A115,'[4]SEGUIMIENTO CONTRATOS 2018'!$A:$AJ,15,0),0)</f>
        <v>14000000</v>
      </c>
      <c r="Z115" s="752">
        <f>+IFERROR(VLOOKUP($A115,'[4]SEGUIMIENTO CONTRATOS 2018'!$A:$AJ,15,0),0)</f>
        <v>14000000</v>
      </c>
      <c r="AA115" s="698" t="str">
        <f>+IFERROR(VLOOKUP($A115,'[4]SEGUIMIENTO CONTRATOS 2018'!$A:$AJ,16,0)," ")</f>
        <v>Cinco (5) mensualidades vencidas, cada una por valor de DOS MILLONES OCHOCIENTOS MIL PESOS ($2’800.000) M/CTE.</v>
      </c>
      <c r="AB115" s="698" t="str">
        <f>+IFERROR(VLOOKUP($A115,'[4]SEGUIMIENTO CONTRATOS 2018'!$A:$AL,38,0)," ")</f>
        <v xml:space="preserve">5018 </v>
      </c>
      <c r="AC115" s="698" t="str">
        <f>+IFERROR(VLOOKUP($A115,'[4]SEGUIMIENTO CONTRATOS 2018'!$A:$AJ,24,0)," ")</f>
        <v>Cinco (05) meses, contado a partir del perfeccionamiento del mismo y registro presupuestal.</v>
      </c>
      <c r="AD115" s="751">
        <f>+IFERROR(VLOOKUP($A115,'[4]SEGUIMIENTO CONTRATOS 2018'!$A:$AJ,25,0)," ")</f>
        <v>43111</v>
      </c>
      <c r="AE115" s="751">
        <f>+IFERROR(VLOOKUP($A115,'[4]SEGUIMIENTO CONTRATOS 2018'!$A:$AJ,26,0)," ")</f>
        <v>43261</v>
      </c>
      <c r="AF115" s="698" t="str">
        <f>+IFERROR(VLOOKUP($A115,'[4]SEGUIMIENTO CONTRATOS 2018'!$A:$AJ,30,0)," ")</f>
        <v>DIANA MARCELA GOMEZ ANZOLA</v>
      </c>
      <c r="AG115" s="698" t="str">
        <f>+IFERROR(VLOOKUP($A115,'[4]SEGUIMIENTO CONTRATOS 2018'!$A:$AJ,31,0)," ")</f>
        <v>GRUPO DE GESTION HUMANA</v>
      </c>
    </row>
    <row r="116" spans="1:33" ht="175.5" x14ac:dyDescent="0.25">
      <c r="A116" s="690">
        <f t="shared" si="3"/>
        <v>91</v>
      </c>
      <c r="B116" s="691" t="s">
        <v>266</v>
      </c>
      <c r="C116" s="692">
        <v>80101706</v>
      </c>
      <c r="D116" s="693" t="s">
        <v>528</v>
      </c>
      <c r="E116" s="691" t="s">
        <v>48</v>
      </c>
      <c r="F116" s="691">
        <v>1</v>
      </c>
      <c r="G116" s="694" t="s">
        <v>73</v>
      </c>
      <c r="H116" s="695">
        <v>5</v>
      </c>
      <c r="I116" s="691" t="s">
        <v>61</v>
      </c>
      <c r="J116" s="691" t="s">
        <v>66</v>
      </c>
      <c r="K116" s="691" t="s">
        <v>475</v>
      </c>
      <c r="L116" s="696">
        <v>24485000</v>
      </c>
      <c r="M116" s="697">
        <v>24485000</v>
      </c>
      <c r="N116" s="691" t="s">
        <v>51</v>
      </c>
      <c r="O116" s="691" t="s">
        <v>36</v>
      </c>
      <c r="P116" s="691" t="s">
        <v>529</v>
      </c>
      <c r="Q116" s="80"/>
      <c r="R116" s="698" t="str">
        <f>+IFERROR(VLOOKUP($A116,'[4]SEGUIMIENTO CONTRATOS 2018'!$A:$AJ,2,0)," ")</f>
        <v>021-2018</v>
      </c>
      <c r="S116" s="698" t="str">
        <f>+IFERROR(VLOOKUP($A116,'[4]SEGUIMIENTO CONTRATOS 2018'!$A:$AJ,3,0)," ")</f>
        <v>LEIDY CAROLINA MOGOLLON DELGADO</v>
      </c>
      <c r="T116" s="751">
        <f>+IFERROR(VLOOKUP($A116,'[4]SEGUIMIENTO CONTRATOS 2018'!$A:$AJ,8,0)," ")</f>
        <v>43109</v>
      </c>
      <c r="U116" s="698" t="str">
        <f>+IFERROR(VLOOKUP($A116,'[4]SEGUIMIENTO CONTRATOS 2018'!$A:$AJ,9,0)," ")</f>
        <v>Prestar servicios profesionales en la Dirección de Gestión del Conocimiento de Función Pública, para apoyar el fortalecimiento de la producción escrita a través de la revisión documental y estandarización del proceso editorial de la Entidad, así como el seguimiento a la implementación de la dimensión de gestión del conocimiento y la innovación del MIPG.</v>
      </c>
      <c r="V116" s="698" t="str">
        <f>+IFERROR(VLOOKUP($A116,'[4]SEGUIMIENTO CONTRATOS 2018'!$A:$AJ,11,0)," ")</f>
        <v>PRESTACION DE SERVICIOS PROFESIONALES</v>
      </c>
      <c r="W116" s="752">
        <f>+IFERROR(VLOOKUP($A116,'[4]SEGUIMIENTO CONTRATOS 2018'!$A:$AJ,13,0),0)</f>
        <v>24485000</v>
      </c>
      <c r="X116" s="698">
        <f>+IFERROR(VLOOKUP($A116,'[4]SEGUIMIENTO CONTRATOS 2018'!$A:$AJ,14,0),0)</f>
        <v>0</v>
      </c>
      <c r="Y116" s="752">
        <f>+IFERROR(VLOOKUP($A116,'[4]SEGUIMIENTO CONTRATOS 2018'!$A:$AJ,15,0),0)</f>
        <v>24485000</v>
      </c>
      <c r="Z116" s="752">
        <f>+IFERROR(VLOOKUP($A116,'[4]SEGUIMIENTO CONTRATOS 2018'!$A:$AJ,15,0),0)</f>
        <v>24485000</v>
      </c>
      <c r="AA116" s="698" t="str">
        <f>+IFERROR(VLOOKUP($A116,'[4]SEGUIMIENTO CONTRATOS 2018'!$A:$AJ,16,0)," ")</f>
        <v>Cinco (5) mensualidades vencidas, cada una por valor de CUATRO MILLONES OCHOCIENTOS NOVENTA Y SIETE MIL PESOS ($4’897.000) M/CTE.</v>
      </c>
      <c r="AB116" s="698" t="str">
        <f>+IFERROR(VLOOKUP($A116,'[4]SEGUIMIENTO CONTRATOS 2018'!$A:$AL,38,0)," ")</f>
        <v xml:space="preserve">5118 </v>
      </c>
      <c r="AC116" s="698" t="str">
        <f>+IFERROR(VLOOKUP($A116,'[4]SEGUIMIENTO CONTRATOS 2018'!$A:$AJ,24,0)," ")</f>
        <v>Cinco (05) meses, contado a partir del perfeccionamiento del mismo y registro presupuestal.</v>
      </c>
      <c r="AD116" s="751">
        <f>+IFERROR(VLOOKUP($A116,'[4]SEGUIMIENTO CONTRATOS 2018'!$A:$AJ,25,0)," ")</f>
        <v>43109</v>
      </c>
      <c r="AE116" s="751">
        <f>+IFERROR(VLOOKUP($A116,'[4]SEGUIMIENTO CONTRATOS 2018'!$A:$AJ,26,0)," ")</f>
        <v>43259</v>
      </c>
      <c r="AF116" s="698" t="str">
        <f>+IFERROR(VLOOKUP($A116,'[4]SEGUIMIENTO CONTRATOS 2018'!$A:$AJ,30,0)," ")</f>
        <v xml:space="preserve">DIEGO ALEJANDRO BELTRAN OGILVIE-BROWNE </v>
      </c>
      <c r="AG116" s="698" t="str">
        <f>+IFERROR(VLOOKUP($A116,'[4]SEGUIMIENTO CONTRATOS 2018'!$A:$AJ,31,0)," ")</f>
        <v>DIRECCION DE GESTION DEL CONOCIMIENTO</v>
      </c>
    </row>
    <row r="117" spans="1:33" ht="175.5" x14ac:dyDescent="0.25">
      <c r="A117" s="690">
        <f t="shared" si="3"/>
        <v>92</v>
      </c>
      <c r="B117" s="691" t="s">
        <v>266</v>
      </c>
      <c r="C117" s="692">
        <v>80101706</v>
      </c>
      <c r="D117" s="693" t="s">
        <v>528</v>
      </c>
      <c r="E117" s="691" t="s">
        <v>48</v>
      </c>
      <c r="F117" s="691">
        <v>1</v>
      </c>
      <c r="G117" s="694" t="s">
        <v>73</v>
      </c>
      <c r="H117" s="695">
        <v>5</v>
      </c>
      <c r="I117" s="691" t="s">
        <v>61</v>
      </c>
      <c r="J117" s="691" t="s">
        <v>66</v>
      </c>
      <c r="K117" s="691" t="s">
        <v>475</v>
      </c>
      <c r="L117" s="696">
        <v>19475000</v>
      </c>
      <c r="M117" s="697">
        <v>19475000</v>
      </c>
      <c r="N117" s="691" t="s">
        <v>51</v>
      </c>
      <c r="O117" s="691" t="s">
        <v>36</v>
      </c>
      <c r="P117" s="691" t="s">
        <v>529</v>
      </c>
      <c r="Q117" s="80"/>
      <c r="R117" s="698" t="str">
        <f>+IFERROR(VLOOKUP($A117,'[4]SEGUIMIENTO CONTRATOS 2018'!$A:$AJ,2,0)," ")</f>
        <v>025-2018</v>
      </c>
      <c r="S117" s="698" t="str">
        <f>+IFERROR(VLOOKUP($A117,'[4]SEGUIMIENTO CONTRATOS 2018'!$A:$AJ,3,0)," ")</f>
        <v>SARA RESTREPO PEREZ</v>
      </c>
      <c r="T117" s="751">
        <f>+IFERROR(VLOOKUP($A117,'[4]SEGUIMIENTO CONTRATOS 2018'!$A:$AJ,8,0)," ")</f>
        <v>43109</v>
      </c>
      <c r="U117" s="698" t="str">
        <f>+IFERROR(VLOOKUP($A117,'[4]SEGUIMIENTO CONTRATOS 2018'!$A:$AJ,9,0)," ")</f>
        <v>Prestar servicios profesionales en la Dirección de Gestión del Conocimiento de Función Pública, para apoyar la difusión de las herramientas desarrolladas en el marco del convenio N° 779 de 2016 con Colciencias y apoyar la implementación de la dimensión de gestión del conocimiento y la innovación del Modelo Integrado de Planeación y Gestión -MIPG.</v>
      </c>
      <c r="V117" s="698" t="str">
        <f>+IFERROR(VLOOKUP($A117,'[4]SEGUIMIENTO CONTRATOS 2018'!$A:$AJ,11,0)," ")</f>
        <v>PRESTACION DE SERVICIOS PROFESIONALES</v>
      </c>
      <c r="W117" s="752">
        <f>+IFERROR(VLOOKUP($A117,'[4]SEGUIMIENTO CONTRATOS 2018'!$A:$AJ,13,0),0)</f>
        <v>19475000</v>
      </c>
      <c r="X117" s="698">
        <f>+IFERROR(VLOOKUP($A117,'[4]SEGUIMIENTO CONTRATOS 2018'!$A:$AJ,14,0),0)</f>
        <v>0</v>
      </c>
      <c r="Y117" s="752">
        <f>+IFERROR(VLOOKUP($A117,'[4]SEGUIMIENTO CONTRATOS 2018'!$A:$AJ,15,0),0)</f>
        <v>19475000</v>
      </c>
      <c r="Z117" s="752">
        <f>+IFERROR(VLOOKUP($A117,'[4]SEGUIMIENTO CONTRATOS 2018'!$A:$AJ,15,0),0)</f>
        <v>19475000</v>
      </c>
      <c r="AA117" s="698" t="str">
        <f>+IFERROR(VLOOKUP($A117,'[4]SEGUIMIENTO CONTRATOS 2018'!$A:$AJ,16,0)," ")</f>
        <v>Cinco (5) mensualidades vencidas, cada una por valor de TRES MILLONES OCHOCIENTOS NOVENTA Y CINCO MIL PESOS ($3’895.000) M/CTE.</v>
      </c>
      <c r="AB117" s="698" t="str">
        <f>+IFERROR(VLOOKUP($A117,'[4]SEGUIMIENTO CONTRATOS 2018'!$A:$AL,38,0)," ")</f>
        <v xml:space="preserve">5218 </v>
      </c>
      <c r="AC117" s="698" t="str">
        <f>+IFERROR(VLOOKUP($A117,'[4]SEGUIMIENTO CONTRATOS 2018'!$A:$AJ,24,0)," ")</f>
        <v>Cinco (05) meses, contado a partir del perfeccionamiento del mismo y registro presupuestal.</v>
      </c>
      <c r="AD117" s="751">
        <f>+IFERROR(VLOOKUP($A117,'[4]SEGUIMIENTO CONTRATOS 2018'!$A:$AJ,25,0)," ")</f>
        <v>43109</v>
      </c>
      <c r="AE117" s="751">
        <f>+IFERROR(VLOOKUP($A117,'[4]SEGUIMIENTO CONTRATOS 2018'!$A:$AJ,26,0)," ")</f>
        <v>43259</v>
      </c>
      <c r="AF117" s="698" t="str">
        <f>+IFERROR(VLOOKUP($A117,'[4]SEGUIMIENTO CONTRATOS 2018'!$A:$AJ,30,0)," ")</f>
        <v xml:space="preserve">DIEGO ALEJANDRO BELTRAN OGILVIE-BROWNE </v>
      </c>
      <c r="AG117" s="698" t="str">
        <f>+IFERROR(VLOOKUP($A117,'[4]SEGUIMIENTO CONTRATOS 2018'!$A:$AJ,31,0)," ")</f>
        <v>DIRECCION DE GESTION DEL CONOCIMIENTO</v>
      </c>
    </row>
    <row r="118" spans="1:33" ht="156" x14ac:dyDescent="0.25">
      <c r="A118" s="690">
        <f t="shared" si="3"/>
        <v>93</v>
      </c>
      <c r="B118" s="691" t="s">
        <v>267</v>
      </c>
      <c r="C118" s="692">
        <v>80101706</v>
      </c>
      <c r="D118" s="693" t="s">
        <v>530</v>
      </c>
      <c r="E118" s="691" t="s">
        <v>48</v>
      </c>
      <c r="F118" s="691">
        <v>1</v>
      </c>
      <c r="G118" s="694" t="s">
        <v>73</v>
      </c>
      <c r="H118" s="695">
        <v>5</v>
      </c>
      <c r="I118" s="691" t="s">
        <v>61</v>
      </c>
      <c r="J118" s="691" t="s">
        <v>66</v>
      </c>
      <c r="K118" s="691" t="s">
        <v>475</v>
      </c>
      <c r="L118" s="696">
        <v>25000000</v>
      </c>
      <c r="M118" s="697">
        <v>25000000</v>
      </c>
      <c r="N118" s="691" t="s">
        <v>51</v>
      </c>
      <c r="O118" s="691" t="s">
        <v>36</v>
      </c>
      <c r="P118" s="691" t="s">
        <v>529</v>
      </c>
      <c r="Q118" s="80"/>
      <c r="R118" s="698" t="str">
        <f>+IFERROR(VLOOKUP($A118,'[4]SEGUIMIENTO CONTRATOS 2018'!$A:$AJ,2,0)," ")</f>
        <v>035-2018</v>
      </c>
      <c r="S118" s="698" t="str">
        <f>+IFERROR(VLOOKUP($A118,'[4]SEGUIMIENTO CONTRATOS 2018'!$A:$AJ,3,0)," ")</f>
        <v>LINA MARIA VASQUEZ CASTRO</v>
      </c>
      <c r="T118" s="751">
        <f>+IFERROR(VLOOKUP($A118,'[4]SEGUIMIENTO CONTRATOS 2018'!$A:$AJ,8,0)," ")</f>
        <v>43109</v>
      </c>
      <c r="U118" s="698" t="str">
        <f>+IFERROR(VLOOKUP($A118,'[4]SEGUIMIENTO CONTRATOS 2018'!$A:$AJ,9,0)," ")</f>
        <v>Prestar servicios profesionales  en la Direccion de Gestión y Desempeño Institucional de Función Pública para apoyar la implementación y medición del Modelo Integrado de Planeación y Gestión MIPG, asi como contribuir a la evaluación de su incidencia en el desempeño institucional de las entidades objeto de su aplicación.</v>
      </c>
      <c r="V118" s="698" t="str">
        <f>+IFERROR(VLOOKUP($A118,'[4]SEGUIMIENTO CONTRATOS 2018'!$A:$AJ,11,0)," ")</f>
        <v>PRESTACION DE SERVICIOS PROFESIONALES</v>
      </c>
      <c r="W118" s="752">
        <f>+IFERROR(VLOOKUP($A118,'[4]SEGUIMIENTO CONTRATOS 2018'!$A:$AJ,13,0),0)</f>
        <v>25000000</v>
      </c>
      <c r="X118" s="698">
        <f>+IFERROR(VLOOKUP($A118,'[4]SEGUIMIENTO CONTRATOS 2018'!$A:$AJ,14,0),0)</f>
        <v>0</v>
      </c>
      <c r="Y118" s="752">
        <f>+IFERROR(VLOOKUP($A118,'[4]SEGUIMIENTO CONTRATOS 2018'!$A:$AJ,15,0),0)</f>
        <v>25000000</v>
      </c>
      <c r="Z118" s="752">
        <f>+IFERROR(VLOOKUP($A118,'[4]SEGUIMIENTO CONTRATOS 2018'!$A:$AJ,15,0),0)</f>
        <v>25000000</v>
      </c>
      <c r="AA118" s="698" t="str">
        <f>+IFERROR(VLOOKUP($A118,'[4]SEGUIMIENTO CONTRATOS 2018'!$A:$AJ,16,0)," ")</f>
        <v>Cinco (5) mensualidades vencidas de CINCO MILLONES DE PESOS ($5’000.000) M/CTE.</v>
      </c>
      <c r="AB118" s="698" t="str">
        <f>+IFERROR(VLOOKUP($A118,'[4]SEGUIMIENTO CONTRATOS 2018'!$A:$AL,38,0)," ")</f>
        <v xml:space="preserve">5318 </v>
      </c>
      <c r="AC118" s="698" t="str">
        <f>+IFERROR(VLOOKUP($A118,'[4]SEGUIMIENTO CONTRATOS 2018'!$A:$AJ,24,0)," ")</f>
        <v>Cinco (05) meses, contado a partir del perfeccionamiento del mismo y registro presupuestal.</v>
      </c>
      <c r="AD118" s="751">
        <f>+IFERROR(VLOOKUP($A118,'[4]SEGUIMIENTO CONTRATOS 2018'!$A:$AJ,25,0)," ")</f>
        <v>43111</v>
      </c>
      <c r="AE118" s="751">
        <f>+IFERROR(VLOOKUP($A118,'[4]SEGUIMIENTO CONTRATOS 2018'!$A:$AJ,26,0)," ")</f>
        <v>43261</v>
      </c>
      <c r="AF118" s="698" t="str">
        <f>+IFERROR(VLOOKUP($A118,'[4]SEGUIMIENTO CONTRATOS 2018'!$A:$AJ,30,0)," ")</f>
        <v>ARLINGTON FONSECA</v>
      </c>
      <c r="AG118" s="698" t="str">
        <f>+IFERROR(VLOOKUP($A118,'[4]SEGUIMIENTO CONTRATOS 2018'!$A:$AJ,31,0)," ")</f>
        <v>DIRECCION DE GESTION Y DESEMPEÑO INSTITUCIONAL</v>
      </c>
    </row>
    <row r="119" spans="1:33" ht="156" x14ac:dyDescent="0.25">
      <c r="A119" s="690">
        <f t="shared" si="3"/>
        <v>94</v>
      </c>
      <c r="B119" s="691" t="s">
        <v>267</v>
      </c>
      <c r="C119" s="692">
        <v>80101706</v>
      </c>
      <c r="D119" s="693" t="s">
        <v>530</v>
      </c>
      <c r="E119" s="691" t="s">
        <v>48</v>
      </c>
      <c r="F119" s="691">
        <v>1</v>
      </c>
      <c r="G119" s="694" t="s">
        <v>73</v>
      </c>
      <c r="H119" s="695">
        <v>5</v>
      </c>
      <c r="I119" s="691" t="s">
        <v>61</v>
      </c>
      <c r="J119" s="691" t="s">
        <v>66</v>
      </c>
      <c r="K119" s="691" t="s">
        <v>475</v>
      </c>
      <c r="L119" s="696">
        <v>25000000</v>
      </c>
      <c r="M119" s="697">
        <v>25000000</v>
      </c>
      <c r="N119" s="691" t="s">
        <v>51</v>
      </c>
      <c r="O119" s="691" t="s">
        <v>36</v>
      </c>
      <c r="P119" s="691" t="s">
        <v>529</v>
      </c>
      <c r="Q119" s="80"/>
      <c r="R119" s="698" t="str">
        <f>+IFERROR(VLOOKUP($A119,'[4]SEGUIMIENTO CONTRATOS 2018'!$A:$AJ,2,0)," ")</f>
        <v>037-2018</v>
      </c>
      <c r="S119" s="698" t="str">
        <f>+IFERROR(VLOOKUP($A119,'[4]SEGUIMIENTO CONTRATOS 2018'!$A:$AJ,3,0)," ")</f>
        <v>MICHEL FELIPE CORDOBA PEROZO</v>
      </c>
      <c r="T119" s="751">
        <f>+IFERROR(VLOOKUP($A119,'[4]SEGUIMIENTO CONTRATOS 2018'!$A:$AJ,8,0)," ")</f>
        <v>43109</v>
      </c>
      <c r="U119" s="698" t="str">
        <f>+IFERROR(VLOOKUP($A119,'[4]SEGUIMIENTO CONTRATOS 2018'!$A:$AJ,9,0)," ")</f>
        <v>Prestar servicios profesionales  en la Direccion de Gestión y Desempeño Institucional de Función Pública para apoyar la implementación y medición del Modelo Integrado de Planeación y Gestión MIPG, asi como contribuir a la evaluación de su incidencia en el desempeño institucional de las entidades objeto de su aplicación.</v>
      </c>
      <c r="V119" s="698" t="str">
        <f>+IFERROR(VLOOKUP($A119,'[4]SEGUIMIENTO CONTRATOS 2018'!$A:$AJ,11,0)," ")</f>
        <v>PRESTACION DE SERVICIOS PROFESIONALES</v>
      </c>
      <c r="W119" s="752">
        <f>+IFERROR(VLOOKUP($A119,'[4]SEGUIMIENTO CONTRATOS 2018'!$A:$AJ,13,0),0)</f>
        <v>25000000</v>
      </c>
      <c r="X119" s="698">
        <f>+IFERROR(VLOOKUP($A119,'[4]SEGUIMIENTO CONTRATOS 2018'!$A:$AJ,14,0),0)</f>
        <v>0</v>
      </c>
      <c r="Y119" s="752">
        <f>+IFERROR(VLOOKUP($A119,'[4]SEGUIMIENTO CONTRATOS 2018'!$A:$AJ,15,0),0)</f>
        <v>25000000</v>
      </c>
      <c r="Z119" s="752">
        <f>+IFERROR(VLOOKUP($A119,'[4]SEGUIMIENTO CONTRATOS 2018'!$A:$AJ,15,0),0)</f>
        <v>25000000</v>
      </c>
      <c r="AA119" s="698" t="str">
        <f>+IFERROR(VLOOKUP($A119,'[4]SEGUIMIENTO CONTRATOS 2018'!$A:$AJ,16,0)," ")</f>
        <v>Cinco (5) mensualidades vencidas de CINCO MILLONES DE PESOS ($5’000.000) M/CTE.</v>
      </c>
      <c r="AB119" s="698" t="str">
        <f>+IFERROR(VLOOKUP($A119,'[4]SEGUIMIENTO CONTRATOS 2018'!$A:$AL,38,0)," ")</f>
        <v xml:space="preserve">5418 </v>
      </c>
      <c r="AC119" s="698" t="str">
        <f>+IFERROR(VLOOKUP($A119,'[4]SEGUIMIENTO CONTRATOS 2018'!$A:$AJ,24,0)," ")</f>
        <v>Cinco (05) meses, contado a partir del perfeccionamiento del mismo y registro presupuestal.</v>
      </c>
      <c r="AD119" s="751">
        <f>+IFERROR(VLOOKUP($A119,'[4]SEGUIMIENTO CONTRATOS 2018'!$A:$AJ,25,0)," ")</f>
        <v>43111</v>
      </c>
      <c r="AE119" s="751">
        <f>+IFERROR(VLOOKUP($A119,'[4]SEGUIMIENTO CONTRATOS 2018'!$A:$AJ,26,0)," ")</f>
        <v>43261</v>
      </c>
      <c r="AF119" s="698" t="str">
        <f>+IFERROR(VLOOKUP($A119,'[4]SEGUIMIENTO CONTRATOS 2018'!$A:$AJ,30,0)," ")</f>
        <v>DIANA MARIA CALDAS GUALTEROS</v>
      </c>
      <c r="AG119" s="698" t="str">
        <f>+IFERROR(VLOOKUP($A119,'[4]SEGUIMIENTO CONTRATOS 2018'!$A:$AJ,31,0)," ")</f>
        <v>DIRECCION DE GESTION Y DESEMPEÑO INSTITUCIONAL</v>
      </c>
    </row>
    <row r="120" spans="1:33" ht="175.5" x14ac:dyDescent="0.25">
      <c r="A120" s="690">
        <f t="shared" si="3"/>
        <v>95</v>
      </c>
      <c r="B120" s="691" t="s">
        <v>531</v>
      </c>
      <c r="C120" s="692">
        <v>80101706</v>
      </c>
      <c r="D120" s="693" t="s">
        <v>532</v>
      </c>
      <c r="E120" s="691" t="s">
        <v>48</v>
      </c>
      <c r="F120" s="691">
        <v>1</v>
      </c>
      <c r="G120" s="694" t="s">
        <v>73</v>
      </c>
      <c r="H120" s="695">
        <v>5</v>
      </c>
      <c r="I120" s="691" t="s">
        <v>61</v>
      </c>
      <c r="J120" s="691" t="s">
        <v>66</v>
      </c>
      <c r="K120" s="691" t="s">
        <v>475</v>
      </c>
      <c r="L120" s="696">
        <v>36750000</v>
      </c>
      <c r="M120" s="697">
        <v>36750000</v>
      </c>
      <c r="N120" s="691" t="s">
        <v>51</v>
      </c>
      <c r="O120" s="691" t="s">
        <v>36</v>
      </c>
      <c r="P120" s="691" t="s">
        <v>533</v>
      </c>
      <c r="Q120" s="80"/>
      <c r="R120" s="698" t="str">
        <f>+IFERROR(VLOOKUP($A120,'[4]SEGUIMIENTO CONTRATOS 2018'!$A:$AJ,2,0)," ")</f>
        <v>028-2018</v>
      </c>
      <c r="S120" s="698" t="str">
        <f>+IFERROR(VLOOKUP($A120,'[4]SEGUIMIENTO CONTRATOS 2018'!$A:$AJ,3,0)," ")</f>
        <v>VIRGINIA GUEVARA SIERRA</v>
      </c>
      <c r="T120" s="751">
        <f>+IFERROR(VLOOKUP($A120,'[4]SEGUIMIENTO CONTRATOS 2018'!$A:$AJ,8,0)," ")</f>
        <v>43109</v>
      </c>
      <c r="U120" s="698" t="str">
        <f>+IFERROR(VLOOKUP($A120,'[4]SEGUIMIENTO CONTRATOS 2018'!$A:$AJ,9,0)," ")</f>
        <v>Prestar servicios profesionales  para apoyar la actualizacion de herramientas orientadas a facilitar la implementacion  de las politicas a cargo de la Dirección de Participación, Transparencia y Servicio al Ciudadano de Función Pública, asi como la validación metodológica para la adecuada implementación de las mismas por parte de las entidades públicas.</v>
      </c>
      <c r="V120" s="698" t="str">
        <f>+IFERROR(VLOOKUP($A120,'[4]SEGUIMIENTO CONTRATOS 2018'!$A:$AJ,11,0)," ")</f>
        <v>PRESTACION DE SERVICIOS PROFESIONALES</v>
      </c>
      <c r="W120" s="752">
        <f>+IFERROR(VLOOKUP($A120,'[4]SEGUIMIENTO CONTRATOS 2018'!$A:$AJ,13,0),0)</f>
        <v>36750000</v>
      </c>
      <c r="X120" s="698">
        <f>+IFERROR(VLOOKUP($A120,'[4]SEGUIMIENTO CONTRATOS 2018'!$A:$AJ,14,0),0)</f>
        <v>0</v>
      </c>
      <c r="Y120" s="752">
        <f>+IFERROR(VLOOKUP($A120,'[4]SEGUIMIENTO CONTRATOS 2018'!$A:$AJ,15,0),0)</f>
        <v>36750000</v>
      </c>
      <c r="Z120" s="752">
        <f>+IFERROR(VLOOKUP($A120,'[4]SEGUIMIENTO CONTRATOS 2018'!$A:$AJ,15,0),0)</f>
        <v>36750000</v>
      </c>
      <c r="AA120" s="698" t="str">
        <f>+IFERROR(VLOOKUP($A120,'[4]SEGUIMIENTO CONTRATOS 2018'!$A:$AJ,16,0)," ")</f>
        <v>Cinco (5) mensualidades vencidas, cada una por valor de SIETE MILLONES TRESCIENTOS CINCUENTA MIL PESOS ($7’350.000) M/CTE.</v>
      </c>
      <c r="AB120" s="698" t="str">
        <f>+IFERROR(VLOOKUP($A120,'[4]SEGUIMIENTO CONTRATOS 2018'!$A:$AL,38,0)," ")</f>
        <v xml:space="preserve">5518 </v>
      </c>
      <c r="AC120" s="698" t="str">
        <f>+IFERROR(VLOOKUP($A120,'[4]SEGUIMIENTO CONTRATOS 2018'!$A:$AJ,24,0)," ")</f>
        <v>Cinco (05) meses, contado a partir del perfeccionamiento del mismo y registro presupuestal.</v>
      </c>
      <c r="AD120" s="751">
        <f>+IFERROR(VLOOKUP($A120,'[4]SEGUIMIENTO CONTRATOS 2018'!$A:$AJ,25,0)," ")</f>
        <v>43109</v>
      </c>
      <c r="AE120" s="751">
        <f>+IFERROR(VLOOKUP($A120,'[4]SEGUIMIENTO CONTRATOS 2018'!$A:$AJ,26,0)," ")</f>
        <v>43259</v>
      </c>
      <c r="AF120" s="698" t="str">
        <f>+IFERROR(VLOOKUP($A120,'[4]SEGUIMIENTO CONTRATOS 2018'!$A:$AJ,30,0)," ")</f>
        <v xml:space="preserve">ELSA YANUBA QUIÑONES </v>
      </c>
      <c r="AG120" s="698" t="str">
        <f>+IFERROR(VLOOKUP($A120,'[4]SEGUIMIENTO CONTRATOS 2018'!$A:$AJ,31,0)," ")</f>
        <v>DIRECCION DE PARTICIPACION, TRANSPARENCIA Y SERVICIO AL CIUDADANO</v>
      </c>
    </row>
    <row r="121" spans="1:33" ht="214.5" x14ac:dyDescent="0.25">
      <c r="A121" s="690">
        <f t="shared" si="3"/>
        <v>96</v>
      </c>
      <c r="B121" s="691" t="s">
        <v>531</v>
      </c>
      <c r="C121" s="692">
        <v>80101706</v>
      </c>
      <c r="D121" s="693" t="s">
        <v>532</v>
      </c>
      <c r="E121" s="691" t="s">
        <v>48</v>
      </c>
      <c r="F121" s="691">
        <v>1</v>
      </c>
      <c r="G121" s="694" t="s">
        <v>73</v>
      </c>
      <c r="H121" s="695">
        <v>5</v>
      </c>
      <c r="I121" s="691" t="s">
        <v>61</v>
      </c>
      <c r="J121" s="691" t="s">
        <v>66</v>
      </c>
      <c r="K121" s="691" t="s">
        <v>475</v>
      </c>
      <c r="L121" s="696">
        <v>24485000</v>
      </c>
      <c r="M121" s="697">
        <v>24485000</v>
      </c>
      <c r="N121" s="691" t="s">
        <v>51</v>
      </c>
      <c r="O121" s="691" t="s">
        <v>36</v>
      </c>
      <c r="P121" s="691" t="s">
        <v>533</v>
      </c>
      <c r="Q121" s="80"/>
      <c r="R121" s="698" t="str">
        <f>+IFERROR(VLOOKUP($A121,'[4]SEGUIMIENTO CONTRATOS 2018'!$A:$AJ,2,0)," ")</f>
        <v>088-2018</v>
      </c>
      <c r="S121" s="698" t="str">
        <f>+IFERROR(VLOOKUP($A121,'[4]SEGUIMIENTO CONTRATOS 2018'!$A:$AJ,3,0)," ")</f>
        <v>ALFREDO SCHLESINGER FACCINI</v>
      </c>
      <c r="T121" s="751">
        <f>+IFERROR(VLOOKUP($A121,'[4]SEGUIMIENTO CONTRATOS 2018'!$A:$AJ,8,0)," ")</f>
        <v>43116</v>
      </c>
      <c r="U121" s="698" t="str">
        <f>+IFERROR(VLOOKUP($A121,'[4]SEGUIMIENTO CONTRATOS 2018'!$A:$AJ,9,0)," ")</f>
        <v>Prestar servicios profesionales en la Dirección de Participación, Transparencia y Servicio al Ciudadano de Función Pública, para apoyar la puesta en marcha de las políticas de participación ciudadana, en particular  del Sistema de Rendición de Cuentas y su articulación con los espacios de participación ciudadana, en el marco de la implementación del Acuerdo  Final para la Terminación del Conflicto y la Construcción de una Paz Estable y Duradera”.</v>
      </c>
      <c r="V121" s="698" t="str">
        <f>+IFERROR(VLOOKUP($A121,'[4]SEGUIMIENTO CONTRATOS 2018'!$A:$AJ,11,0)," ")</f>
        <v>PRESTACION DE SERVICIOS PROFESIONALES</v>
      </c>
      <c r="W121" s="752">
        <f>+IFERROR(VLOOKUP($A121,'[4]SEGUIMIENTO CONTRATOS 2018'!$A:$AJ,13,0),0)</f>
        <v>24485000</v>
      </c>
      <c r="X121" s="698">
        <f>+IFERROR(VLOOKUP($A121,'[4]SEGUIMIENTO CONTRATOS 2018'!$A:$AJ,14,0),0)</f>
        <v>0</v>
      </c>
      <c r="Y121" s="752">
        <f>+IFERROR(VLOOKUP($A121,'[4]SEGUIMIENTO CONTRATOS 2018'!$A:$AJ,15,0),0)</f>
        <v>24485000</v>
      </c>
      <c r="Z121" s="752">
        <f>+IFERROR(VLOOKUP($A121,'[4]SEGUIMIENTO CONTRATOS 2018'!$A:$AJ,15,0),0)</f>
        <v>24485000</v>
      </c>
      <c r="AA121" s="698" t="str">
        <f>+IFERROR(VLOOKUP($A121,'[4]SEGUIMIENTO CONTRATOS 2018'!$A:$AJ,16,0)," ")</f>
        <v>Cinco (5) mensualidades vencidas, cada una por valor de CUATRO MILLONES OCHOCIENTOS NOVENTA Y SIETE MIL PESOS ($4.897.000) M/CTE</v>
      </c>
      <c r="AB121" s="698" t="str">
        <f>+IFERROR(VLOOKUP($A121,'[4]SEGUIMIENTO CONTRATOS 2018'!$A:$AL,38,0)," ")</f>
        <v xml:space="preserve">5618 </v>
      </c>
      <c r="AC121" s="698" t="str">
        <f>+IFERROR(VLOOKUP($A121,'[4]SEGUIMIENTO CONTRATOS 2018'!$A:$AJ,24,0)," ")</f>
        <v>Cinco (5) meses, contado a partir del perfeccionamiento del mismo y registro presupuestal.</v>
      </c>
      <c r="AD121" s="751">
        <f>+IFERROR(VLOOKUP($A121,'[4]SEGUIMIENTO CONTRATOS 2018'!$A:$AJ,25,0)," ")</f>
        <v>43117</v>
      </c>
      <c r="AE121" s="751">
        <f>+IFERROR(VLOOKUP($A121,'[4]SEGUIMIENTO CONTRATOS 2018'!$A:$AJ,26,0)," ")</f>
        <v>43267</v>
      </c>
      <c r="AF121" s="698" t="str">
        <f>+IFERROR(VLOOKUP($A121,'[4]SEGUIMIENTO CONTRATOS 2018'!$A:$AJ,30,0)," ")</f>
        <v xml:space="preserve">SUSAN SIMONETH SUÁREZ GUTIÉRREZ </v>
      </c>
      <c r="AG121" s="698" t="str">
        <f>+IFERROR(VLOOKUP($A121,'[4]SEGUIMIENTO CONTRATOS 2018'!$A:$AJ,31,0)," ")</f>
        <v>DIRECCION DE PARTICIPACION, TRANSPARENCIA Y SERVICIO AL CIUDADANO</v>
      </c>
    </row>
    <row r="122" spans="1:33" ht="195" x14ac:dyDescent="0.25">
      <c r="A122" s="690">
        <f t="shared" si="3"/>
        <v>97</v>
      </c>
      <c r="B122" s="691" t="s">
        <v>531</v>
      </c>
      <c r="C122" s="692">
        <v>80101706</v>
      </c>
      <c r="D122" s="693" t="s">
        <v>532</v>
      </c>
      <c r="E122" s="691" t="s">
        <v>48</v>
      </c>
      <c r="F122" s="691">
        <v>1</v>
      </c>
      <c r="G122" s="694" t="s">
        <v>73</v>
      </c>
      <c r="H122" s="695">
        <v>5</v>
      </c>
      <c r="I122" s="691" t="s">
        <v>61</v>
      </c>
      <c r="J122" s="691" t="s">
        <v>66</v>
      </c>
      <c r="K122" s="691" t="s">
        <v>475</v>
      </c>
      <c r="L122" s="696">
        <v>19475000</v>
      </c>
      <c r="M122" s="697">
        <v>19475000</v>
      </c>
      <c r="N122" s="691" t="s">
        <v>51</v>
      </c>
      <c r="O122" s="691" t="s">
        <v>36</v>
      </c>
      <c r="P122" s="691" t="s">
        <v>533</v>
      </c>
      <c r="Q122" s="80"/>
      <c r="R122" s="698" t="str">
        <f>+IFERROR(VLOOKUP($A122,'[4]SEGUIMIENTO CONTRATOS 2018'!$A:$AJ,2,0)," ")</f>
        <v>024-2018</v>
      </c>
      <c r="S122" s="698" t="str">
        <f>+IFERROR(VLOOKUP($A122,'[4]SEGUIMIENTO CONTRATOS 2018'!$A:$AJ,3,0)," ")</f>
        <v>LAURA CAMILA RONDON LIZARAZO</v>
      </c>
      <c r="T122" s="751">
        <f>+IFERROR(VLOOKUP($A122,'[4]SEGUIMIENTO CONTRATOS 2018'!$A:$AJ,8,0)," ")</f>
        <v>43109</v>
      </c>
      <c r="U122" s="698" t="str">
        <f>+IFERROR(VLOOKUP($A122,'[4]SEGUIMIENTO CONTRATOS 2018'!$A:$AJ,9,0)," ")</f>
        <v>Prestar servicios profesionales en la Dirección de Participación, Transparencia y Servicio al Ciudadano de Función Pública, para apoyar la implementación de herramientas para la Política de Integridad, así como el seguimiento de metas, y compromisos nacionales e internacionales en materia de democratización de la administración pública a cargo de dicha dependencia.</v>
      </c>
      <c r="V122" s="698" t="str">
        <f>+IFERROR(VLOOKUP($A122,'[4]SEGUIMIENTO CONTRATOS 2018'!$A:$AJ,11,0)," ")</f>
        <v>PRESTACION DE SERVICIOS PROFESIONALES</v>
      </c>
      <c r="W122" s="752">
        <f>+IFERROR(VLOOKUP($A122,'[4]SEGUIMIENTO CONTRATOS 2018'!$A:$AJ,13,0),0)</f>
        <v>19475000</v>
      </c>
      <c r="X122" s="698">
        <f>+IFERROR(VLOOKUP($A122,'[4]SEGUIMIENTO CONTRATOS 2018'!$A:$AJ,14,0),0)</f>
        <v>0</v>
      </c>
      <c r="Y122" s="752">
        <f>+IFERROR(VLOOKUP($A122,'[4]SEGUIMIENTO CONTRATOS 2018'!$A:$AJ,15,0),0)</f>
        <v>19475000</v>
      </c>
      <c r="Z122" s="752">
        <f>+IFERROR(VLOOKUP($A122,'[4]SEGUIMIENTO CONTRATOS 2018'!$A:$AJ,15,0),0)</f>
        <v>19475000</v>
      </c>
      <c r="AA122" s="698" t="str">
        <f>+IFERROR(VLOOKUP($A122,'[4]SEGUIMIENTO CONTRATOS 2018'!$A:$AJ,16,0)," ")</f>
        <v>Cinco (5) mensualidades vencidas, cada una por valor de TRES MILLONES OCHOCIENTOS NOVENTA Y CINCO MIL PESOS ($3’895.000) M/CTE.</v>
      </c>
      <c r="AB122" s="698" t="str">
        <f>+IFERROR(VLOOKUP($A122,'[4]SEGUIMIENTO CONTRATOS 2018'!$A:$AL,38,0)," ")</f>
        <v xml:space="preserve">5718 </v>
      </c>
      <c r="AC122" s="698" t="str">
        <f>+IFERROR(VLOOKUP($A122,'[4]SEGUIMIENTO CONTRATOS 2018'!$A:$AJ,24,0)," ")</f>
        <v>Cinco (05) meses, contado a partir del perfeccionamiento del mismo y registro presupuestal.</v>
      </c>
      <c r="AD122" s="751">
        <f>+IFERROR(VLOOKUP($A122,'[4]SEGUIMIENTO CONTRATOS 2018'!$A:$AJ,25,0)," ")</f>
        <v>43109</v>
      </c>
      <c r="AE122" s="751">
        <f>+IFERROR(VLOOKUP($A122,'[4]SEGUIMIENTO CONTRATOS 2018'!$A:$AJ,26,0)," ")</f>
        <v>43259</v>
      </c>
      <c r="AF122" s="698" t="str">
        <f>+IFERROR(VLOOKUP($A122,'[4]SEGUIMIENTO CONTRATOS 2018'!$A:$AJ,30,0)," ")</f>
        <v xml:space="preserve">FERNANDO AUGUSTO SEGURA RESTREPO </v>
      </c>
      <c r="AG122" s="698" t="str">
        <f>+IFERROR(VLOOKUP($A122,'[4]SEGUIMIENTO CONTRATOS 2018'!$A:$AJ,31,0)," ")</f>
        <v>DIRECCION DE PARTICIPACION, TRANSPARENCIA Y SERVICIO AL CIUDADANO</v>
      </c>
    </row>
    <row r="123" spans="1:33" ht="156" x14ac:dyDescent="0.25">
      <c r="A123" s="690">
        <f t="shared" si="3"/>
        <v>98</v>
      </c>
      <c r="B123" s="691" t="s">
        <v>531</v>
      </c>
      <c r="C123" s="692">
        <v>80101706</v>
      </c>
      <c r="D123" s="693" t="s">
        <v>532</v>
      </c>
      <c r="E123" s="691" t="s">
        <v>48</v>
      </c>
      <c r="F123" s="691">
        <v>1</v>
      </c>
      <c r="G123" s="694" t="s">
        <v>73</v>
      </c>
      <c r="H123" s="695">
        <v>5</v>
      </c>
      <c r="I123" s="691" t="s">
        <v>61</v>
      </c>
      <c r="J123" s="691" t="s">
        <v>66</v>
      </c>
      <c r="K123" s="691" t="s">
        <v>475</v>
      </c>
      <c r="L123" s="696">
        <v>36750000</v>
      </c>
      <c r="M123" s="697">
        <v>36750000</v>
      </c>
      <c r="N123" s="691" t="s">
        <v>51</v>
      </c>
      <c r="O123" s="691" t="s">
        <v>36</v>
      </c>
      <c r="P123" s="691" t="s">
        <v>533</v>
      </c>
      <c r="Q123" s="80"/>
      <c r="R123" s="698" t="str">
        <f>+IFERROR(VLOOKUP($A123,'[4]SEGUIMIENTO CONTRATOS 2018'!$A:$AJ,2,0)," ")</f>
        <v>036-2018</v>
      </c>
      <c r="S123" s="698" t="str">
        <f>+IFERROR(VLOOKUP($A123,'[4]SEGUIMIENTO CONTRATOS 2018'!$A:$AJ,3,0)," ")</f>
        <v>JUAN DAVID MENDOZA VARGAS</v>
      </c>
      <c r="T123" s="751">
        <f>+IFERROR(VLOOKUP($A123,'[4]SEGUIMIENTO CONTRATOS 2018'!$A:$AJ,8,0)," ")</f>
        <v>43109</v>
      </c>
      <c r="U123" s="698" t="str">
        <f>+IFERROR(VLOOKUP($A123,'[4]SEGUIMIENTO CONTRATOS 2018'!$A:$AJ,9,0)," ")</f>
        <v>Prestar servicios profesionales en la Dirección de Participación, Transparencia y Servicio al Ciudadano de Función Pública, para apoyar a las entidades de la Administración Pública, en la revisión de procesos asociados a trámites, identificación de acciones de simplificación y su implementación.</v>
      </c>
      <c r="V123" s="698" t="str">
        <f>+IFERROR(VLOOKUP($A123,'[4]SEGUIMIENTO CONTRATOS 2018'!$A:$AJ,11,0)," ")</f>
        <v>PRESTACION DE SERVICIOS PROFESIONALES</v>
      </c>
      <c r="W123" s="752">
        <f>+IFERROR(VLOOKUP($A123,'[4]SEGUIMIENTO CONTRATOS 2018'!$A:$AJ,13,0),0)</f>
        <v>36750000</v>
      </c>
      <c r="X123" s="698">
        <f>+IFERROR(VLOOKUP($A123,'[4]SEGUIMIENTO CONTRATOS 2018'!$A:$AJ,14,0),0)</f>
        <v>0</v>
      </c>
      <c r="Y123" s="752">
        <f>+IFERROR(VLOOKUP($A123,'[4]SEGUIMIENTO CONTRATOS 2018'!$A:$AJ,15,0),0)</f>
        <v>36750000</v>
      </c>
      <c r="Z123" s="752">
        <f>+IFERROR(VLOOKUP($A123,'[4]SEGUIMIENTO CONTRATOS 2018'!$A:$AJ,15,0),0)</f>
        <v>36750000</v>
      </c>
      <c r="AA123" s="698" t="str">
        <f>+IFERROR(VLOOKUP($A123,'[4]SEGUIMIENTO CONTRATOS 2018'!$A:$AJ,16,0)," ")</f>
        <v>Cinco (5) mensualidades vencidas, cada una por valor de SIETE MILLONES TRESCIENTOS CINCUENTA MIL PESOS ($7’350.000) M/CTE.</v>
      </c>
      <c r="AB123" s="698" t="str">
        <f>+IFERROR(VLOOKUP($A123,'[4]SEGUIMIENTO CONTRATOS 2018'!$A:$AL,38,0)," ")</f>
        <v xml:space="preserve">5818 </v>
      </c>
      <c r="AC123" s="698" t="str">
        <f>+IFERROR(VLOOKUP($A123,'[4]SEGUIMIENTO CONTRATOS 2018'!$A:$AJ,24,0)," ")</f>
        <v>Cinco (05) meses, contado a partir del perfeccionamiento del mismo y registro presupuestal.</v>
      </c>
      <c r="AD123" s="751">
        <f>+IFERROR(VLOOKUP($A123,'[4]SEGUIMIENTO CONTRATOS 2018'!$A:$AJ,25,0)," ")</f>
        <v>43109</v>
      </c>
      <c r="AE123" s="751">
        <f>+IFERROR(VLOOKUP($A123,'[4]SEGUIMIENTO CONTRATOS 2018'!$A:$AJ,26,0)," ")</f>
        <v>43259</v>
      </c>
      <c r="AF123" s="698" t="str">
        <f>+IFERROR(VLOOKUP($A123,'[4]SEGUIMIENTO CONTRATOS 2018'!$A:$AJ,30,0)," ")</f>
        <v>FERNANDO AUGUSTO MEDINA GUTIERREZ</v>
      </c>
      <c r="AG123" s="698" t="str">
        <f>+IFERROR(VLOOKUP($A123,'[4]SEGUIMIENTO CONTRATOS 2018'!$A:$AJ,31,0)," ")</f>
        <v>SUBDIRECCIÓN</v>
      </c>
    </row>
    <row r="124" spans="1:33" ht="156" x14ac:dyDescent="0.25">
      <c r="A124" s="690">
        <f t="shared" si="3"/>
        <v>99</v>
      </c>
      <c r="B124" s="691" t="s">
        <v>531</v>
      </c>
      <c r="C124" s="692">
        <v>80101706</v>
      </c>
      <c r="D124" s="693" t="s">
        <v>532</v>
      </c>
      <c r="E124" s="691" t="s">
        <v>48</v>
      </c>
      <c r="F124" s="691">
        <v>1</v>
      </c>
      <c r="G124" s="694" t="s">
        <v>73</v>
      </c>
      <c r="H124" s="695">
        <v>5</v>
      </c>
      <c r="I124" s="691" t="s">
        <v>61</v>
      </c>
      <c r="J124" s="691" t="s">
        <v>66</v>
      </c>
      <c r="K124" s="691" t="s">
        <v>475</v>
      </c>
      <c r="L124" s="696">
        <v>36750000</v>
      </c>
      <c r="M124" s="697">
        <v>36750000</v>
      </c>
      <c r="N124" s="691" t="s">
        <v>51</v>
      </c>
      <c r="O124" s="691" t="s">
        <v>36</v>
      </c>
      <c r="P124" s="691" t="s">
        <v>533</v>
      </c>
      <c r="Q124" s="80"/>
      <c r="R124" s="698" t="str">
        <f>+IFERROR(VLOOKUP($A124,'[4]SEGUIMIENTO CONTRATOS 2018'!$A:$AJ,2,0)," ")</f>
        <v>026-2018</v>
      </c>
      <c r="S124" s="698" t="str">
        <f>+IFERROR(VLOOKUP($A124,'[4]SEGUIMIENTO CONTRATOS 2018'!$A:$AJ,3,0)," ")</f>
        <v>ANA MILENA CACERES CASTRO</v>
      </c>
      <c r="T124" s="751">
        <f>+IFERROR(VLOOKUP($A124,'[4]SEGUIMIENTO CONTRATOS 2018'!$A:$AJ,8,0)," ")</f>
        <v>43109</v>
      </c>
      <c r="U124" s="698" t="str">
        <f>+IFERROR(VLOOKUP($A124,'[4]SEGUIMIENTO CONTRATOS 2018'!$A:$AJ,9,0)," ")</f>
        <v>Prestar servicios profesionales en la Dirección de Participación, Transparencia y Servicio al Ciudadano de Función Pública, para apoyar la orientación jurídica de las estrategias, instrumentos y de los proyectos normativos requeridos para la implementación de las políticas a cargo de ésta dependencia.</v>
      </c>
      <c r="V124" s="698" t="str">
        <f>+IFERROR(VLOOKUP($A124,'[4]SEGUIMIENTO CONTRATOS 2018'!$A:$AJ,11,0)," ")</f>
        <v>PRESTACION DE SERVICIOS PROFESIONALES</v>
      </c>
      <c r="W124" s="752">
        <f>+IFERROR(VLOOKUP($A124,'[4]SEGUIMIENTO CONTRATOS 2018'!$A:$AJ,13,0),0)</f>
        <v>36750000</v>
      </c>
      <c r="X124" s="698">
        <f>+IFERROR(VLOOKUP($A124,'[4]SEGUIMIENTO CONTRATOS 2018'!$A:$AJ,14,0),0)</f>
        <v>0</v>
      </c>
      <c r="Y124" s="752">
        <f>+IFERROR(VLOOKUP($A124,'[4]SEGUIMIENTO CONTRATOS 2018'!$A:$AJ,15,0),0)</f>
        <v>36750000</v>
      </c>
      <c r="Z124" s="752">
        <f>+IFERROR(VLOOKUP($A124,'[4]SEGUIMIENTO CONTRATOS 2018'!$A:$AJ,15,0),0)</f>
        <v>36750000</v>
      </c>
      <c r="AA124" s="698" t="str">
        <f>+IFERROR(VLOOKUP($A124,'[4]SEGUIMIENTO CONTRATOS 2018'!$A:$AJ,16,0)," ")</f>
        <v>Cinco (5) mensualidades vencidas, cada una por valor de SIETE MILLONES TRESCIENTOS CINCUENTA MIL PESOS ($7.350.000) M/CTE.</v>
      </c>
      <c r="AB124" s="698" t="str">
        <f>+IFERROR(VLOOKUP($A124,'[4]SEGUIMIENTO CONTRATOS 2018'!$A:$AL,38,0)," ")</f>
        <v xml:space="preserve">5918 </v>
      </c>
      <c r="AC124" s="698" t="str">
        <f>+IFERROR(VLOOKUP($A124,'[4]SEGUIMIENTO CONTRATOS 2018'!$A:$AJ,24,0)," ")</f>
        <v>Cinco (05) meses, contado a partir del perfeccionamiento del mismo y registro presupuestal.</v>
      </c>
      <c r="AD124" s="751">
        <f>+IFERROR(VLOOKUP($A124,'[4]SEGUIMIENTO CONTRATOS 2018'!$A:$AJ,25,0)," ")</f>
        <v>43109</v>
      </c>
      <c r="AE124" s="751">
        <f>+IFERROR(VLOOKUP($A124,'[4]SEGUIMIENTO CONTRATOS 2018'!$A:$AJ,26,0)," ")</f>
        <v>43259</v>
      </c>
      <c r="AF124" s="698" t="str">
        <f>+IFERROR(VLOOKUP($A124,'[4]SEGUIMIENTO CONTRATOS 2018'!$A:$AJ,30,0)," ")</f>
        <v xml:space="preserve">FERNANDO AUGUSTO SEGURA RESTREPO </v>
      </c>
      <c r="AG124" s="698" t="str">
        <f>+IFERROR(VLOOKUP($A124,'[4]SEGUIMIENTO CONTRATOS 2018'!$A:$AJ,31,0)," ")</f>
        <v>DIRECCION DE PARTICIPACION, TRANSPARENCIA Y SERVICIO AL CIUDADANO</v>
      </c>
    </row>
    <row r="125" spans="1:33" ht="116.25" x14ac:dyDescent="0.25">
      <c r="A125" s="690">
        <f t="shared" si="3"/>
        <v>100</v>
      </c>
      <c r="B125" s="691" t="s">
        <v>171</v>
      </c>
      <c r="C125" s="692">
        <v>80101706</v>
      </c>
      <c r="D125" s="693" t="s">
        <v>534</v>
      </c>
      <c r="E125" s="691" t="s">
        <v>48</v>
      </c>
      <c r="F125" s="691">
        <v>1</v>
      </c>
      <c r="G125" s="694" t="s">
        <v>73</v>
      </c>
      <c r="H125" s="695">
        <v>5</v>
      </c>
      <c r="I125" s="691" t="s">
        <v>61</v>
      </c>
      <c r="J125" s="691" t="s">
        <v>66</v>
      </c>
      <c r="K125" s="691" t="s">
        <v>475</v>
      </c>
      <c r="L125" s="696">
        <v>8425000</v>
      </c>
      <c r="M125" s="697">
        <v>8425000</v>
      </c>
      <c r="N125" s="691" t="s">
        <v>51</v>
      </c>
      <c r="O125" s="691" t="s">
        <v>36</v>
      </c>
      <c r="P125" s="691" t="s">
        <v>535</v>
      </c>
      <c r="Q125" s="80"/>
      <c r="R125" s="698" t="str">
        <f>+IFERROR(VLOOKUP($A125,'[4]SEGUIMIENTO CONTRATOS 2018'!$A:$AJ,2,0)," ")</f>
        <v>045-2018</v>
      </c>
      <c r="S125" s="698" t="str">
        <f>+IFERROR(VLOOKUP($A125,'[4]SEGUIMIENTO CONTRATOS 2018'!$A:$AJ,3,0)," ")</f>
        <v>GLORIA ESPERANZA JIMENEZ CABRERA</v>
      </c>
      <c r="T125" s="751">
        <f>+IFERROR(VLOOKUP($A125,'[4]SEGUIMIENTO CONTRATOS 2018'!$A:$AJ,8,0)," ")</f>
        <v>43109</v>
      </c>
      <c r="U125" s="698" t="str">
        <f>+IFERROR(VLOOKUP($A125,'[4]SEGUIMIENTO CONTRATOS 2018'!$A:$AJ,9,0)," ")</f>
        <v>Prestar servicios de apoyo a la gestión en la Dirección Jurídica de Función Pública para la digitación, cargue, descargue y depuración de información en el Gestor Normativo de la Entidad.</v>
      </c>
      <c r="V125" s="698" t="str">
        <f>+IFERROR(VLOOKUP($A125,'[4]SEGUIMIENTO CONTRATOS 2018'!$A:$AJ,11,0)," ")</f>
        <v>PRESTACION DE SERVICIOS DE APOYO A LA GESTION</v>
      </c>
      <c r="W125" s="752">
        <f>+IFERROR(VLOOKUP($A125,'[4]SEGUIMIENTO CONTRATOS 2018'!$A:$AJ,13,0),0)</f>
        <v>8425000</v>
      </c>
      <c r="X125" s="698">
        <f>+IFERROR(VLOOKUP($A125,'[4]SEGUIMIENTO CONTRATOS 2018'!$A:$AJ,14,0),0)</f>
        <v>0</v>
      </c>
      <c r="Y125" s="752">
        <f>+IFERROR(VLOOKUP($A125,'[4]SEGUIMIENTO CONTRATOS 2018'!$A:$AJ,15,0),0)</f>
        <v>8425000</v>
      </c>
      <c r="Z125" s="752">
        <f>+IFERROR(VLOOKUP($A125,'[4]SEGUIMIENTO CONTRATOS 2018'!$A:$AJ,15,0),0)</f>
        <v>8425000</v>
      </c>
      <c r="AA125" s="698" t="str">
        <f>+IFERROR(VLOOKUP($A125,'[4]SEGUIMIENTO CONTRATOS 2018'!$A:$AJ,16,0)," ")</f>
        <v>Cinco (5) mensualidades vencidas, cada una por valor de UN MILLÓN SEISCIENTOS OCHENTA Y CINCO MIL PESOS ($1’685.000) M/CTE</v>
      </c>
      <c r="AB125" s="698" t="str">
        <f>+IFERROR(VLOOKUP($A125,'[4]SEGUIMIENTO CONTRATOS 2018'!$A:$AL,38,0)," ")</f>
        <v xml:space="preserve">6018 </v>
      </c>
      <c r="AC125" s="698" t="str">
        <f>+IFERROR(VLOOKUP($A125,'[4]SEGUIMIENTO CONTRATOS 2018'!$A:$AJ,24,0)," ")</f>
        <v>Cinco (05) meses, contado a partir del perfeccionamiento del mismo y registro presupuestal.</v>
      </c>
      <c r="AD125" s="751">
        <f>+IFERROR(VLOOKUP($A125,'[4]SEGUIMIENTO CONTRATOS 2018'!$A:$AJ,25,0)," ")</f>
        <v>43110</v>
      </c>
      <c r="AE125" s="751">
        <f>+IFERROR(VLOOKUP($A125,'[4]SEGUIMIENTO CONTRATOS 2018'!$A:$AJ,26,0)," ")</f>
        <v>43260</v>
      </c>
      <c r="AF125" s="698" t="str">
        <f>+IFERROR(VLOOKUP($A125,'[4]SEGUIMIENTO CONTRATOS 2018'!$A:$AJ,30,0)," ")</f>
        <v xml:space="preserve">LUIS FERNANDO NUÑEZ RINCÓN </v>
      </c>
      <c r="AG125" s="698" t="str">
        <f>+IFERROR(VLOOKUP($A125,'[4]SEGUIMIENTO CONTRATOS 2018'!$A:$AJ,31,0)," ")</f>
        <v>DIRECCION JURIDICA</v>
      </c>
    </row>
    <row r="126" spans="1:33" ht="136.5" x14ac:dyDescent="0.25">
      <c r="A126" s="690">
        <v>101</v>
      </c>
      <c r="B126" s="691" t="s">
        <v>171</v>
      </c>
      <c r="C126" s="692">
        <v>80101706</v>
      </c>
      <c r="D126" s="693" t="s">
        <v>536</v>
      </c>
      <c r="E126" s="691" t="s">
        <v>48</v>
      </c>
      <c r="F126" s="691">
        <v>1</v>
      </c>
      <c r="G126" s="694" t="s">
        <v>73</v>
      </c>
      <c r="H126" s="695">
        <v>5</v>
      </c>
      <c r="I126" s="691" t="s">
        <v>61</v>
      </c>
      <c r="J126" s="691" t="s">
        <v>66</v>
      </c>
      <c r="K126" s="691" t="s">
        <v>475</v>
      </c>
      <c r="L126" s="696">
        <v>12920000</v>
      </c>
      <c r="M126" s="696">
        <v>12920000</v>
      </c>
      <c r="N126" s="691" t="s">
        <v>51</v>
      </c>
      <c r="O126" s="691" t="s">
        <v>36</v>
      </c>
      <c r="P126" s="691" t="s">
        <v>535</v>
      </c>
      <c r="Q126" s="80"/>
      <c r="R126" s="698" t="str">
        <f>+IFERROR(VLOOKUP($A126,'[4]SEGUIMIENTO CONTRATOS 2018'!$A:$AJ,2,0)," ")</f>
        <v>124-2018</v>
      </c>
      <c r="S126" s="698" t="str">
        <f>+IFERROR(VLOOKUP($A126,'[4]SEGUIMIENTO CONTRATOS 2018'!$A:$AJ,3,0)," ")</f>
        <v>LADY JOHANA TORRES LAVERDE</v>
      </c>
      <c r="T126" s="751">
        <f>+IFERROR(VLOOKUP($A126,'[4]SEGUIMIENTO CONTRATOS 2018'!$A:$AJ,8,0)," ")</f>
        <v>43119</v>
      </c>
      <c r="U126" s="698" t="str">
        <f>+IFERROR(VLOOKUP($A126,'[4]SEGUIMIENTO CONTRATOS 2018'!$A:$AJ,9,0)," ")</f>
        <v>Prestar servicios profesionales en la Dirección Juridica de Función Pública para apoyar la busqueda de extractos, reseñas, jurisprudencia, normas y demas documentos juridicos que permitan la publicación o actualización de información en el Gestor Normativo de la Entidad.</v>
      </c>
      <c r="V126" s="698" t="str">
        <f>+IFERROR(VLOOKUP($A126,'[4]SEGUIMIENTO CONTRATOS 2018'!$A:$AJ,11,0)," ")</f>
        <v>PRESTACION DE SERVICIOS PROFESIONALES</v>
      </c>
      <c r="W126" s="752">
        <f>+IFERROR(VLOOKUP($A126,'[4]SEGUIMIENTO CONTRATOS 2018'!$A:$AJ,13,0),0)</f>
        <v>12920000</v>
      </c>
      <c r="X126" s="698">
        <f>+IFERROR(VLOOKUP($A126,'[4]SEGUIMIENTO CONTRATOS 2018'!$A:$AJ,14,0),0)</f>
        <v>0</v>
      </c>
      <c r="Y126" s="752">
        <f>+IFERROR(VLOOKUP($A126,'[4]SEGUIMIENTO CONTRATOS 2018'!$A:$AJ,15,0),0)</f>
        <v>12920000</v>
      </c>
      <c r="Z126" s="752">
        <f>+IFERROR(VLOOKUP($A126,'[4]SEGUIMIENTO CONTRATOS 2018'!$A:$AJ,15,0),0)</f>
        <v>12920000</v>
      </c>
      <c r="AA126" s="698" t="str">
        <f>+IFERROR(VLOOKUP($A126,'[4]SEGUIMIENTO CONTRATOS 2018'!$A:$AJ,16,0)," ")</f>
        <v>Cinco (5) mensualidades vencidas, cada una por valor de DOS MILLONES QUINIENTOS OCHENTA Y CUATRO MIL PESOS ($2.584.000) M/CTE.</v>
      </c>
      <c r="AB126" s="698" t="str">
        <f>+IFERROR(VLOOKUP($A126,'[4]SEGUIMIENTO CONTRATOS 2018'!$A:$AL,38,0)," ")</f>
        <v xml:space="preserve">6118 </v>
      </c>
      <c r="AC126" s="698" t="str">
        <f>+IFERROR(VLOOKUP($A126,'[4]SEGUIMIENTO CONTRATOS 2018'!$A:$AJ,24,0)," ")</f>
        <v>Cinco (5) meses, contado a partir del perfeccionamiento del mismo y registro presupuestal.</v>
      </c>
      <c r="AD126" s="751">
        <f>+IFERROR(VLOOKUP($A126,'[4]SEGUIMIENTO CONTRATOS 2018'!$A:$AJ,25,0)," ")</f>
        <v>43122</v>
      </c>
      <c r="AE126" s="751">
        <f>+IFERROR(VLOOKUP($A126,'[4]SEGUIMIENTO CONTRATOS 2018'!$A:$AJ,26,0)," ")</f>
        <v>43272</v>
      </c>
      <c r="AF126" s="698" t="str">
        <f>+IFERROR(VLOOKUP($A126,'[4]SEGUIMIENTO CONTRATOS 2018'!$A:$AJ,30,0)," ")</f>
        <v xml:space="preserve">LUIS FERNANDO NUÑEZ RINCÓN </v>
      </c>
      <c r="AG126" s="698" t="str">
        <f>+IFERROR(VLOOKUP($A126,'[4]SEGUIMIENTO CONTRATOS 2018'!$A:$AJ,31,0)," ")</f>
        <v>DIRECCION JURIDICA</v>
      </c>
    </row>
    <row r="127" spans="1:33" ht="116.25" x14ac:dyDescent="0.25">
      <c r="A127" s="690">
        <f t="shared" si="3"/>
        <v>102</v>
      </c>
      <c r="B127" s="691" t="s">
        <v>171</v>
      </c>
      <c r="C127" s="692">
        <v>80101706</v>
      </c>
      <c r="D127" s="693" t="s">
        <v>536</v>
      </c>
      <c r="E127" s="691" t="s">
        <v>48</v>
      </c>
      <c r="F127" s="691">
        <v>1</v>
      </c>
      <c r="G127" s="694" t="s">
        <v>73</v>
      </c>
      <c r="H127" s="695">
        <v>5</v>
      </c>
      <c r="I127" s="691" t="s">
        <v>61</v>
      </c>
      <c r="J127" s="691" t="s">
        <v>66</v>
      </c>
      <c r="K127" s="691" t="s">
        <v>475</v>
      </c>
      <c r="L127" s="696">
        <v>36750000</v>
      </c>
      <c r="M127" s="697">
        <v>36750000</v>
      </c>
      <c r="N127" s="691" t="s">
        <v>51</v>
      </c>
      <c r="O127" s="691" t="s">
        <v>36</v>
      </c>
      <c r="P127" s="691" t="s">
        <v>535</v>
      </c>
      <c r="Q127" s="80"/>
      <c r="R127" s="698" t="str">
        <f>+IFERROR(VLOOKUP($A127,'[4]SEGUIMIENTO CONTRATOS 2018'!$A:$AJ,2,0)," ")</f>
        <v>047-2018</v>
      </c>
      <c r="S127" s="698" t="str">
        <f>+IFERROR(VLOOKUP($A127,'[4]SEGUIMIENTO CONTRATOS 2018'!$A:$AJ,3,0)," ")</f>
        <v>MARIA JOSE DEL RIO ARIAS</v>
      </c>
      <c r="T127" s="751">
        <f>+IFERROR(VLOOKUP($A127,'[4]SEGUIMIENTO CONTRATOS 2018'!$A:$AJ,8,0)," ")</f>
        <v>43109</v>
      </c>
      <c r="U127" s="698" t="str">
        <f>+IFERROR(VLOOKUP($A127,'[4]SEGUIMIENTO CONTRATOS 2018'!$A:$AJ,9,0)," ")</f>
        <v>Prestar servicios profesionales en la Dirección Jurídica de Función Pública, para apoyar todos los aspectos relativos a la Contratación Estatal, y a la expedición de conceptos.</v>
      </c>
      <c r="V127" s="698" t="str">
        <f>+IFERROR(VLOOKUP($A127,'[4]SEGUIMIENTO CONTRATOS 2018'!$A:$AJ,11,0)," ")</f>
        <v>PRESTACION DE SERVICIOS PROFESIONALES</v>
      </c>
      <c r="W127" s="752">
        <f>+IFERROR(VLOOKUP($A127,'[4]SEGUIMIENTO CONTRATOS 2018'!$A:$AJ,13,0),0)</f>
        <v>36750000</v>
      </c>
      <c r="X127" s="698">
        <f>+IFERROR(VLOOKUP($A127,'[4]SEGUIMIENTO CONTRATOS 2018'!$A:$AJ,14,0),0)</f>
        <v>0</v>
      </c>
      <c r="Y127" s="752">
        <f>+IFERROR(VLOOKUP($A127,'[4]SEGUIMIENTO CONTRATOS 2018'!$A:$AJ,15,0),0)</f>
        <v>36750000</v>
      </c>
      <c r="Z127" s="752">
        <f>+IFERROR(VLOOKUP($A127,'[4]SEGUIMIENTO CONTRATOS 2018'!$A:$AJ,15,0),0)</f>
        <v>36750000</v>
      </c>
      <c r="AA127" s="698" t="str">
        <f>+IFERROR(VLOOKUP($A127,'[4]SEGUIMIENTO CONTRATOS 2018'!$A:$AJ,16,0)," ")</f>
        <v>Cinco (5) mensualidades vencidas cada una por valor de SIETE MILLONES TRESCIENTOS CINCUENTA MIL PESOS ($7’350.000) M/CTE</v>
      </c>
      <c r="AB127" s="698" t="str">
        <f>+IFERROR(VLOOKUP($A127,'[4]SEGUIMIENTO CONTRATOS 2018'!$A:$AL,38,0)," ")</f>
        <v xml:space="preserve">6218 </v>
      </c>
      <c r="AC127" s="698" t="str">
        <f>+IFERROR(VLOOKUP($A127,'[4]SEGUIMIENTO CONTRATOS 2018'!$A:$AJ,24,0)," ")</f>
        <v>Cinco (05) meses, contado a partir del perfeccionamiento del mismo y registro presupuestal.</v>
      </c>
      <c r="AD127" s="751">
        <f>+IFERROR(VLOOKUP($A127,'[4]SEGUIMIENTO CONTRATOS 2018'!$A:$AJ,25,0)," ")</f>
        <v>43118</v>
      </c>
      <c r="AE127" s="751">
        <f>+IFERROR(VLOOKUP($A127,'[4]SEGUIMIENTO CONTRATOS 2018'!$A:$AJ,26,0)," ")</f>
        <v>43268</v>
      </c>
      <c r="AF127" s="698" t="str">
        <f>+IFERROR(VLOOKUP($A127,'[4]SEGUIMIENTO CONTRATOS 2018'!$A:$AJ,30,0)," ")</f>
        <v xml:space="preserve">LUIS FERNANDO NUÑEZ RINCÓN </v>
      </c>
      <c r="AG127" s="698" t="str">
        <f>+IFERROR(VLOOKUP($A127,'[4]SEGUIMIENTO CONTRATOS 2018'!$A:$AJ,31,0)," ")</f>
        <v>DIRECCION JURIDICA</v>
      </c>
    </row>
    <row r="128" spans="1:33" ht="92.45" customHeight="1" x14ac:dyDescent="0.25">
      <c r="A128" s="690">
        <f t="shared" si="3"/>
        <v>103</v>
      </c>
      <c r="B128" s="691" t="s">
        <v>540</v>
      </c>
      <c r="C128" s="692">
        <v>80101706</v>
      </c>
      <c r="D128" s="693" t="s">
        <v>541</v>
      </c>
      <c r="E128" s="691" t="s">
        <v>48</v>
      </c>
      <c r="F128" s="691">
        <v>1</v>
      </c>
      <c r="G128" s="694" t="s">
        <v>73</v>
      </c>
      <c r="H128" s="695">
        <v>5</v>
      </c>
      <c r="I128" s="691" t="s">
        <v>61</v>
      </c>
      <c r="J128" s="691" t="s">
        <v>66</v>
      </c>
      <c r="K128" s="691" t="s">
        <v>475</v>
      </c>
      <c r="L128" s="696">
        <v>23500000</v>
      </c>
      <c r="M128" s="697">
        <v>23500000</v>
      </c>
      <c r="N128" s="691" t="s">
        <v>51</v>
      </c>
      <c r="O128" s="691" t="s">
        <v>36</v>
      </c>
      <c r="P128" s="691" t="s">
        <v>542</v>
      </c>
      <c r="Q128" s="80"/>
      <c r="R128" s="698" t="str">
        <f>+IFERROR(VLOOKUP($A128,'[4]SEGUIMIENTO CONTRATOS 2018'!$A:$AJ,2,0)," ")</f>
        <v>049-2018</v>
      </c>
      <c r="S128" s="698" t="str">
        <f>+IFERROR(VLOOKUP($A128,'[4]SEGUIMIENTO CONTRATOS 2018'!$A:$AJ,3,0)," ")</f>
        <v>LUIS AREVALO MANTILLA</v>
      </c>
      <c r="T128" s="751">
        <f>+IFERROR(VLOOKUP($A128,'[4]SEGUIMIENTO CONTRATOS 2018'!$A:$AJ,8,0)," ")</f>
        <v>43110</v>
      </c>
      <c r="U128" s="698" t="str">
        <f>+IFERROR(VLOOKUP($A128,'[4]SEGUIMIENTO CONTRATOS 2018'!$A:$AJ,9,0)," ")</f>
        <v>Prestar servicios profesionales en la Oficina Asesora de Comunicaciones de Función Pública para apoyar el diseño y diagramación de documentos, publicaciones técnicas, asi como la producción y generacion de piezas gráficas, en el marco de la Estrategia de Comunicaciones.</v>
      </c>
      <c r="V128" s="698" t="str">
        <f>+IFERROR(VLOOKUP($A128,'[4]SEGUIMIENTO CONTRATOS 2018'!$A:$AJ,11,0)," ")</f>
        <v>PRESTACION DE SERVICIOS PROFESIONALES</v>
      </c>
      <c r="W128" s="752">
        <f>+IFERROR(VLOOKUP($A128,'[4]SEGUIMIENTO CONTRATOS 2018'!$A:$AJ,13,0),0)</f>
        <v>23500000</v>
      </c>
      <c r="X128" s="698">
        <f>+IFERROR(VLOOKUP($A128,'[4]SEGUIMIENTO CONTRATOS 2018'!$A:$AJ,14,0),0)</f>
        <v>0</v>
      </c>
      <c r="Y128" s="752">
        <f>+IFERROR(VLOOKUP($A128,'[4]SEGUIMIENTO CONTRATOS 2018'!$A:$AJ,15,0),0)</f>
        <v>23500000</v>
      </c>
      <c r="Z128" s="752">
        <f>+IFERROR(VLOOKUP($A128,'[4]SEGUIMIENTO CONTRATOS 2018'!$A:$AJ,15,0),0)</f>
        <v>23500000</v>
      </c>
      <c r="AA128" s="698" t="str">
        <f>+IFERROR(VLOOKUP($A128,'[4]SEGUIMIENTO CONTRATOS 2018'!$A:$AJ,16,0)," ")</f>
        <v>Cinco (5) mensualidades vencidas, cada una por valor de CUATRO MILLONES SETECIENTOS MIL PESOS ($4’700.000) M/CTE.</v>
      </c>
      <c r="AB128" s="698" t="str">
        <f>+IFERROR(VLOOKUP($A128,'[4]SEGUIMIENTO CONTRATOS 2018'!$A:$AL,38,0)," ")</f>
        <v xml:space="preserve">5318 </v>
      </c>
      <c r="AC128" s="698" t="str">
        <f>+IFERROR(VLOOKUP($A128,'[4]SEGUIMIENTO CONTRATOS 2018'!$A:$AJ,24,0)," ")</f>
        <v>Cinco (05) meses, contado a partir del perfeccionamiento del mismo y registro presupuestal.</v>
      </c>
      <c r="AD128" s="751">
        <f>+IFERROR(VLOOKUP($A128,'[4]SEGUIMIENTO CONTRATOS 2018'!$A:$AJ,25,0)," ")</f>
        <v>43115</v>
      </c>
      <c r="AE128" s="751">
        <f>+IFERROR(VLOOKUP($A128,'[4]SEGUIMIENTO CONTRATOS 2018'!$A:$AJ,26,0)," ")</f>
        <v>43265</v>
      </c>
      <c r="AF128" s="698" t="str">
        <f>+IFERROR(VLOOKUP($A128,'[4]SEGUIMIENTO CONTRATOS 2018'!$A:$AJ,30,0)," ")</f>
        <v>DIANA MARIA BOHORQUEZ LOSADA</v>
      </c>
      <c r="AG128" s="698" t="str">
        <f>+IFERROR(VLOOKUP($A128,'[4]SEGUIMIENTO CONTRATOS 2018'!$A:$AJ,31,0)," ")</f>
        <v>OFICINA ASESORA DE COMUNICACIONES</v>
      </c>
    </row>
    <row r="129" spans="1:33" ht="92.45" customHeight="1" x14ac:dyDescent="0.25">
      <c r="A129" s="690">
        <f t="shared" si="3"/>
        <v>104</v>
      </c>
      <c r="B129" s="691" t="s">
        <v>540</v>
      </c>
      <c r="C129" s="692">
        <v>80101706</v>
      </c>
      <c r="D129" s="693" t="s">
        <v>541</v>
      </c>
      <c r="E129" s="691" t="s">
        <v>48</v>
      </c>
      <c r="F129" s="691">
        <v>1</v>
      </c>
      <c r="G129" s="694" t="s">
        <v>73</v>
      </c>
      <c r="H129" s="695">
        <v>5</v>
      </c>
      <c r="I129" s="691" t="s">
        <v>61</v>
      </c>
      <c r="J129" s="691" t="s">
        <v>66</v>
      </c>
      <c r="K129" s="691" t="s">
        <v>475</v>
      </c>
      <c r="L129" s="696">
        <v>19000000</v>
      </c>
      <c r="M129" s="697">
        <v>19000000</v>
      </c>
      <c r="N129" s="691" t="s">
        <v>51</v>
      </c>
      <c r="O129" s="691" t="s">
        <v>36</v>
      </c>
      <c r="P129" s="691" t="s">
        <v>542</v>
      </c>
      <c r="Q129" s="80"/>
      <c r="R129" s="698" t="str">
        <f>+IFERROR(VLOOKUP($A129,'[4]SEGUIMIENTO CONTRATOS 2018'!$A:$AJ,2,0)," ")</f>
        <v>043-2018</v>
      </c>
      <c r="S129" s="698" t="str">
        <f>+IFERROR(VLOOKUP($A129,'[4]SEGUIMIENTO CONTRATOS 2018'!$A:$AJ,3,0)," ")</f>
        <v>JORGE IVAN GIRALDO DIAZ</v>
      </c>
      <c r="T129" s="751">
        <f>+IFERROR(VLOOKUP($A129,'[4]SEGUIMIENTO CONTRATOS 2018'!$A:$AJ,8,0)," ")</f>
        <v>43109</v>
      </c>
      <c r="U129" s="698" t="str">
        <f>+IFERROR(VLOOKUP($A129,'[4]SEGUIMIENTO CONTRATOS 2018'!$A:$AJ,9,0)," ")</f>
        <v>Prestar servicios profesionales en la Oficina Asesora de Comunicaciones| de Función Pública, para apoyar la difusión de contenidos e información de la Entidad en redes sociales institucionales, en el marco de la estrategia de comunicaciones.</v>
      </c>
      <c r="V129" s="698" t="str">
        <f>+IFERROR(VLOOKUP($A129,'[4]SEGUIMIENTO CONTRATOS 2018'!$A:$AJ,11,0)," ")</f>
        <v>PRESTACION DE SERVICIOS PROFESIONALES</v>
      </c>
      <c r="W129" s="752">
        <f>+IFERROR(VLOOKUP($A129,'[4]SEGUIMIENTO CONTRATOS 2018'!$A:$AJ,13,0),0)</f>
        <v>19000000</v>
      </c>
      <c r="X129" s="698">
        <f>+IFERROR(VLOOKUP($A129,'[4]SEGUIMIENTO CONTRATOS 2018'!$A:$AJ,14,0),0)</f>
        <v>0</v>
      </c>
      <c r="Y129" s="752">
        <f>+IFERROR(VLOOKUP($A129,'[4]SEGUIMIENTO CONTRATOS 2018'!$A:$AJ,15,0),0)</f>
        <v>19000000</v>
      </c>
      <c r="Z129" s="752">
        <f>+IFERROR(VLOOKUP($A129,'[4]SEGUIMIENTO CONTRATOS 2018'!$A:$AJ,15,0),0)</f>
        <v>19000000</v>
      </c>
      <c r="AA129" s="698" t="str">
        <f>+IFERROR(VLOOKUP($A129,'[4]SEGUIMIENTO CONTRATOS 2018'!$A:$AJ,16,0)," ")</f>
        <v>Cinco (5) mensualidades vencidas, cada una por valor de TRES MILLONES OCHOCIENTOS MIL PESOS ($3’800.000) M/CTE.</v>
      </c>
      <c r="AB129" s="698" t="str">
        <f>+IFERROR(VLOOKUP($A129,'[4]SEGUIMIENTO CONTRATOS 2018'!$A:$AL,38,0)," ")</f>
        <v xml:space="preserve">6418 </v>
      </c>
      <c r="AC129" s="698" t="str">
        <f>+IFERROR(VLOOKUP($A129,'[4]SEGUIMIENTO CONTRATOS 2018'!$A:$AJ,24,0)," ")</f>
        <v>Cinco (05) meses, contado a partir del perfeccionamiento del mismo y registro presupuestal.</v>
      </c>
      <c r="AD129" s="751">
        <f>+IFERROR(VLOOKUP($A129,'[4]SEGUIMIENTO CONTRATOS 2018'!$A:$AJ,25,0)," ")</f>
        <v>43116</v>
      </c>
      <c r="AE129" s="751">
        <f>+IFERROR(VLOOKUP($A129,'[4]SEGUIMIENTO CONTRATOS 2018'!$A:$AJ,26,0)," ")</f>
        <v>43266</v>
      </c>
      <c r="AF129" s="698" t="str">
        <f>+IFERROR(VLOOKUP($A129,'[4]SEGUIMIENTO CONTRATOS 2018'!$A:$AJ,30,0)," ")</f>
        <v>DIANA MARIA BOHORQUEZ LOSADA</v>
      </c>
      <c r="AG129" s="698" t="str">
        <f>+IFERROR(VLOOKUP($A129,'[4]SEGUIMIENTO CONTRATOS 2018'!$A:$AJ,31,0)," ")</f>
        <v>OFICINA ASESORA DE COMUNICACIONES</v>
      </c>
    </row>
    <row r="130" spans="1:33" ht="94.15" customHeight="1" x14ac:dyDescent="0.25">
      <c r="A130" s="690">
        <f t="shared" si="3"/>
        <v>105</v>
      </c>
      <c r="B130" s="691" t="s">
        <v>540</v>
      </c>
      <c r="C130" s="692">
        <v>80101706</v>
      </c>
      <c r="D130" s="693" t="s">
        <v>541</v>
      </c>
      <c r="E130" s="691" t="s">
        <v>48</v>
      </c>
      <c r="F130" s="691">
        <v>1</v>
      </c>
      <c r="G130" s="694" t="s">
        <v>73</v>
      </c>
      <c r="H130" s="695">
        <v>5</v>
      </c>
      <c r="I130" s="691" t="s">
        <v>61</v>
      </c>
      <c r="J130" s="691" t="s">
        <v>66</v>
      </c>
      <c r="K130" s="691" t="s">
        <v>475</v>
      </c>
      <c r="L130" s="696">
        <v>21000000</v>
      </c>
      <c r="M130" s="697">
        <v>21000000</v>
      </c>
      <c r="N130" s="691" t="s">
        <v>51</v>
      </c>
      <c r="O130" s="691" t="s">
        <v>36</v>
      </c>
      <c r="P130" s="691" t="s">
        <v>542</v>
      </c>
      <c r="Q130" s="80"/>
      <c r="R130" s="698" t="str">
        <f>+IFERROR(VLOOKUP($A130,'[4]SEGUIMIENTO CONTRATOS 2018'!$A:$AJ,2,0)," ")</f>
        <v>040-2018</v>
      </c>
      <c r="S130" s="698" t="str">
        <f>+IFERROR(VLOOKUP($A130,'[4]SEGUIMIENTO CONTRATOS 2018'!$A:$AJ,3,0)," ")</f>
        <v>EDGAR ALIRIO VELOSA ARIAS</v>
      </c>
      <c r="T130" s="751">
        <f>+IFERROR(VLOOKUP($A130,'[4]SEGUIMIENTO CONTRATOS 2018'!$A:$AJ,8,0)," ")</f>
        <v>43109</v>
      </c>
      <c r="U130" s="698" t="str">
        <f>+IFERROR(VLOOKUP($A130,'[4]SEGUIMIENTO CONTRATOS 2018'!$A:$AJ,9,0)," ")</f>
        <v>Prestar servicios profesionales en la oficina asesora de comunicaciones de Función Pública, para apoyar la generación de contenidos informativos  que permitan divulgar la gestión de la entidad, en el marco de la estrategia de comunicaciones</v>
      </c>
      <c r="V130" s="698" t="str">
        <f>+IFERROR(VLOOKUP($A130,'[4]SEGUIMIENTO CONTRATOS 2018'!$A:$AJ,11,0)," ")</f>
        <v>PRESTACION DE SERVICIOS PROFESIONALES</v>
      </c>
      <c r="W130" s="752">
        <f>+IFERROR(VLOOKUP($A130,'[4]SEGUIMIENTO CONTRATOS 2018'!$A:$AJ,13,0),0)</f>
        <v>21000000</v>
      </c>
      <c r="X130" s="698">
        <f>+IFERROR(VLOOKUP($A130,'[4]SEGUIMIENTO CONTRATOS 2018'!$A:$AJ,14,0),0)</f>
        <v>0</v>
      </c>
      <c r="Y130" s="752">
        <f>+IFERROR(VLOOKUP($A130,'[4]SEGUIMIENTO CONTRATOS 2018'!$A:$AJ,15,0),0)</f>
        <v>21000000</v>
      </c>
      <c r="Z130" s="752">
        <f>+IFERROR(VLOOKUP($A130,'[4]SEGUIMIENTO CONTRATOS 2018'!$A:$AJ,15,0),0)</f>
        <v>21000000</v>
      </c>
      <c r="AA130" s="698" t="str">
        <f>+IFERROR(VLOOKUP($A130,'[4]SEGUIMIENTO CONTRATOS 2018'!$A:$AJ,16,0)," ")</f>
        <v>Cinco (5) mensualidades vencidas, cada una por valor de CUATRO MILLONES DOSCIENTOS MIL PESOS ($4’200.000) M/CTE.</v>
      </c>
      <c r="AB130" s="698" t="str">
        <f>+IFERROR(VLOOKUP($A130,'[4]SEGUIMIENTO CONTRATOS 2018'!$A:$AL,38,0)," ")</f>
        <v xml:space="preserve">6518 </v>
      </c>
      <c r="AC130" s="698" t="str">
        <f>+IFERROR(VLOOKUP($A130,'[4]SEGUIMIENTO CONTRATOS 2018'!$A:$AJ,24,0)," ")</f>
        <v>Cinco (05) meses, contado a partir del perfeccionamiento del mismo y registro presupuestal.</v>
      </c>
      <c r="AD130" s="751">
        <f>+IFERROR(VLOOKUP($A130,'[4]SEGUIMIENTO CONTRATOS 2018'!$A:$AJ,25,0)," ")</f>
        <v>43112</v>
      </c>
      <c r="AE130" s="751">
        <f>+IFERROR(VLOOKUP($A130,'[4]SEGUIMIENTO CONTRATOS 2018'!$A:$AJ,26,0)," ")</f>
        <v>43262</v>
      </c>
      <c r="AF130" s="698" t="str">
        <f>+IFERROR(VLOOKUP($A130,'[4]SEGUIMIENTO CONTRATOS 2018'!$A:$AJ,30,0)," ")</f>
        <v>DIANA MARIA BOHORQUEZ LOSADA</v>
      </c>
      <c r="AG130" s="698" t="str">
        <f>+IFERROR(VLOOKUP($A130,'[4]SEGUIMIENTO CONTRATOS 2018'!$A:$AJ,31,0)," ")</f>
        <v>OFICINA ASESORA DE COMUNICACIONES</v>
      </c>
    </row>
    <row r="131" spans="1:33" ht="116.25" x14ac:dyDescent="0.25">
      <c r="A131" s="599">
        <f t="shared" si="3"/>
        <v>106</v>
      </c>
      <c r="B131" s="600" t="s">
        <v>171</v>
      </c>
      <c r="C131" s="687">
        <v>81100000</v>
      </c>
      <c r="D131" s="602" t="s">
        <v>60</v>
      </c>
      <c r="E131" s="600" t="s">
        <v>48</v>
      </c>
      <c r="F131" s="600">
        <v>1</v>
      </c>
      <c r="G131" s="603" t="s">
        <v>180</v>
      </c>
      <c r="H131" s="604">
        <v>12</v>
      </c>
      <c r="I131" s="600" t="s">
        <v>55</v>
      </c>
      <c r="J131" s="600" t="s">
        <v>35</v>
      </c>
      <c r="K131" s="600" t="s">
        <v>38</v>
      </c>
      <c r="L131" s="605">
        <v>6000000</v>
      </c>
      <c r="M131" s="606">
        <v>6000000</v>
      </c>
      <c r="N131" s="600" t="s">
        <v>51</v>
      </c>
      <c r="O131" s="600" t="s">
        <v>36</v>
      </c>
      <c r="P131" s="600" t="s">
        <v>535</v>
      </c>
      <c r="Q131" s="80"/>
      <c r="R131" s="707" t="str">
        <f>+IFERROR(VLOOKUP($A131,'[4]SEGUIMIENTO CONTRATOS 2018'!$A:$AJ,2,0)," ")</f>
        <v xml:space="preserve"> </v>
      </c>
      <c r="S131" s="707" t="str">
        <f>+IFERROR(VLOOKUP($A131,'[4]SEGUIMIENTO CONTRATOS 2018'!$A:$AJ,3,0)," ")</f>
        <v xml:space="preserve"> </v>
      </c>
      <c r="T131" s="789" t="str">
        <f>+IFERROR(VLOOKUP($A131,'[4]SEGUIMIENTO CONTRATOS 2018'!$A:$AJ,8,0)," ")</f>
        <v xml:space="preserve"> </v>
      </c>
      <c r="U131" s="707" t="str">
        <f>+IFERROR(VLOOKUP($A131,'[4]SEGUIMIENTO CONTRATOS 2018'!$A:$AJ,9,0)," ")</f>
        <v xml:space="preserve"> </v>
      </c>
      <c r="V131" s="707" t="str">
        <f>+IFERROR(VLOOKUP($A131,'[4]SEGUIMIENTO CONTRATOS 2018'!$A:$AJ,11,0)," ")</f>
        <v xml:space="preserve"> </v>
      </c>
      <c r="W131" s="790">
        <f>+IFERROR(VLOOKUP($A131,'[4]SEGUIMIENTO CONTRATOS 2018'!$A:$AJ,13,0),0)</f>
        <v>0</v>
      </c>
      <c r="X131" s="707">
        <f>+IFERROR(VLOOKUP($A131,'[4]SEGUIMIENTO CONTRATOS 2018'!$A:$AJ,14,0),0)</f>
        <v>0</v>
      </c>
      <c r="Y131" s="790">
        <f>+IFERROR(VLOOKUP($A131,'[4]SEGUIMIENTO CONTRATOS 2018'!$A:$AJ,15,0),0)</f>
        <v>0</v>
      </c>
      <c r="Z131" s="790">
        <f>+IFERROR(VLOOKUP($A131,'[4]SEGUIMIENTO CONTRATOS 2018'!$A:$AJ,15,0),0)</f>
        <v>0</v>
      </c>
      <c r="AA131" s="707" t="str">
        <f>+IFERROR(VLOOKUP($A131,'[4]SEGUIMIENTO CONTRATOS 2018'!$A:$AJ,16,0)," ")</f>
        <v xml:space="preserve"> </v>
      </c>
      <c r="AB131" s="707" t="str">
        <f>+IFERROR(VLOOKUP($A131,'[4]SEGUIMIENTO CONTRATOS 2018'!$A:$AL,38,0)," ")</f>
        <v xml:space="preserve"> </v>
      </c>
      <c r="AC131" s="707" t="str">
        <f>+IFERROR(VLOOKUP($A131,'[4]SEGUIMIENTO CONTRATOS 2018'!$A:$AJ,24,0)," ")</f>
        <v xml:space="preserve"> </v>
      </c>
      <c r="AD131" s="789" t="str">
        <f>+IFERROR(VLOOKUP($A131,'[4]SEGUIMIENTO CONTRATOS 2018'!$A:$AJ,25,0)," ")</f>
        <v xml:space="preserve"> </v>
      </c>
      <c r="AE131" s="789" t="str">
        <f>+IFERROR(VLOOKUP($A131,'[4]SEGUIMIENTO CONTRATOS 2018'!$A:$AJ,26,0)," ")</f>
        <v xml:space="preserve"> </v>
      </c>
      <c r="AF131" s="707" t="str">
        <f>+IFERROR(VLOOKUP($A131,'[4]SEGUIMIENTO CONTRATOS 2018'!$A:$AJ,30,0)," ")</f>
        <v xml:space="preserve"> </v>
      </c>
      <c r="AG131" s="707" t="str">
        <f>+IFERROR(VLOOKUP($A131,'[4]SEGUIMIENTO CONTRATOS 2018'!$A:$AJ,31,0)," ")</f>
        <v xml:space="preserve"> </v>
      </c>
    </row>
    <row r="132" spans="1:33" ht="116.25" x14ac:dyDescent="0.25">
      <c r="A132" s="748">
        <f t="shared" si="3"/>
        <v>107</v>
      </c>
      <c r="B132" s="600" t="s">
        <v>171</v>
      </c>
      <c r="C132" s="687" t="s">
        <v>537</v>
      </c>
      <c r="D132" s="602" t="s">
        <v>538</v>
      </c>
      <c r="E132" s="600" t="s">
        <v>48</v>
      </c>
      <c r="F132" s="600">
        <v>1</v>
      </c>
      <c r="G132" s="683" t="s">
        <v>79</v>
      </c>
      <c r="H132" s="604">
        <v>12</v>
      </c>
      <c r="I132" s="600" t="s">
        <v>55</v>
      </c>
      <c r="J132" s="600" t="s">
        <v>35</v>
      </c>
      <c r="K132" s="600" t="s">
        <v>441</v>
      </c>
      <c r="L132" s="605">
        <v>21000000</v>
      </c>
      <c r="M132" s="606">
        <v>21000000</v>
      </c>
      <c r="N132" s="600" t="s">
        <v>49</v>
      </c>
      <c r="O132" s="600" t="s">
        <v>447</v>
      </c>
      <c r="P132" s="600" t="s">
        <v>535</v>
      </c>
      <c r="Q132" s="80"/>
      <c r="R132" s="707" t="str">
        <f>+IFERROR(VLOOKUP($A132,'[4]SEGUIMIENTO CONTRATOS 2018'!$A:$AJ,2,0)," ")</f>
        <v xml:space="preserve"> </v>
      </c>
      <c r="S132" s="707" t="str">
        <f>+IFERROR(VLOOKUP($A132,'[4]SEGUIMIENTO CONTRATOS 2018'!$A:$AJ,3,0)," ")</f>
        <v xml:space="preserve"> </v>
      </c>
      <c r="T132" s="789" t="str">
        <f>+IFERROR(VLOOKUP($A132,'[4]SEGUIMIENTO CONTRATOS 2018'!$A:$AJ,8,0)," ")</f>
        <v xml:space="preserve"> </v>
      </c>
      <c r="U132" s="707" t="str">
        <f>+IFERROR(VLOOKUP($A132,'[4]SEGUIMIENTO CONTRATOS 2018'!$A:$AJ,9,0)," ")</f>
        <v xml:space="preserve"> </v>
      </c>
      <c r="V132" s="707" t="str">
        <f>+IFERROR(VLOOKUP($A132,'[4]SEGUIMIENTO CONTRATOS 2018'!$A:$AJ,11,0)," ")</f>
        <v xml:space="preserve"> </v>
      </c>
      <c r="W132" s="790">
        <f>+IFERROR(VLOOKUP($A132,'[4]SEGUIMIENTO CONTRATOS 2018'!$A:$AJ,13,0),0)</f>
        <v>0</v>
      </c>
      <c r="X132" s="707">
        <f>+IFERROR(VLOOKUP($A132,'[4]SEGUIMIENTO CONTRATOS 2018'!$A:$AJ,14,0),0)</f>
        <v>0</v>
      </c>
      <c r="Y132" s="790">
        <f>+IFERROR(VLOOKUP($A132,'[4]SEGUIMIENTO CONTRATOS 2018'!$A:$AJ,15,0),0)</f>
        <v>0</v>
      </c>
      <c r="Z132" s="790">
        <f>+IFERROR(VLOOKUP($A132,'[4]SEGUIMIENTO CONTRATOS 2018'!$A:$AJ,15,0),0)</f>
        <v>0</v>
      </c>
      <c r="AA132" s="707" t="str">
        <f>+IFERROR(VLOOKUP($A132,'[4]SEGUIMIENTO CONTRATOS 2018'!$A:$AJ,16,0)," ")</f>
        <v xml:space="preserve"> </v>
      </c>
      <c r="AB132" s="707" t="str">
        <f>+IFERROR(VLOOKUP($A132,'[4]SEGUIMIENTO CONTRATOS 2018'!$A:$AL,38,0)," ")</f>
        <v xml:space="preserve"> </v>
      </c>
      <c r="AC132" s="707" t="str">
        <f>+IFERROR(VLOOKUP($A132,'[4]SEGUIMIENTO CONTRATOS 2018'!$A:$AJ,24,0)," ")</f>
        <v xml:space="preserve"> </v>
      </c>
      <c r="AD132" s="789" t="str">
        <f>+IFERROR(VLOOKUP($A132,'[4]SEGUIMIENTO CONTRATOS 2018'!$A:$AJ,25,0)," ")</f>
        <v xml:space="preserve"> </v>
      </c>
      <c r="AE132" s="789" t="str">
        <f>+IFERROR(VLOOKUP($A132,'[4]SEGUIMIENTO CONTRATOS 2018'!$A:$AJ,26,0)," ")</f>
        <v xml:space="preserve"> </v>
      </c>
      <c r="AF132" s="707" t="str">
        <f>+IFERROR(VLOOKUP($A132,'[4]SEGUIMIENTO CONTRATOS 2018'!$A:$AJ,30,0)," ")</f>
        <v xml:space="preserve"> </v>
      </c>
      <c r="AG132" s="707" t="str">
        <f>+IFERROR(VLOOKUP($A132,'[4]SEGUIMIENTO CONTRATOS 2018'!$A:$AJ,31,0)," ")</f>
        <v xml:space="preserve"> </v>
      </c>
    </row>
    <row r="133" spans="1:33" ht="214.5" x14ac:dyDescent="0.25">
      <c r="A133" s="690">
        <v>108</v>
      </c>
      <c r="B133" s="691" t="s">
        <v>492</v>
      </c>
      <c r="C133" s="692">
        <v>80101706</v>
      </c>
      <c r="D133" s="693" t="s">
        <v>539</v>
      </c>
      <c r="E133" s="691" t="s">
        <v>48</v>
      </c>
      <c r="F133" s="691">
        <v>1</v>
      </c>
      <c r="G133" s="694" t="s">
        <v>73</v>
      </c>
      <c r="H133" s="695">
        <v>5</v>
      </c>
      <c r="I133" s="691" t="s">
        <v>61</v>
      </c>
      <c r="J133" s="691" t="s">
        <v>66</v>
      </c>
      <c r="K133" s="691" t="s">
        <v>585</v>
      </c>
      <c r="L133" s="696">
        <v>21200000</v>
      </c>
      <c r="M133" s="697">
        <v>21200000</v>
      </c>
      <c r="N133" s="691" t="s">
        <v>51</v>
      </c>
      <c r="O133" s="691" t="s">
        <v>36</v>
      </c>
      <c r="P133" s="691" t="s">
        <v>308</v>
      </c>
      <c r="Q133" s="80"/>
      <c r="R133" s="698" t="str">
        <f>+IFERROR(VLOOKUP($A133,'[4]SEGUIMIENTO CONTRATOS 2018'!$A:$AJ,2,0)," ")</f>
        <v>003-2018</v>
      </c>
      <c r="S133" s="698" t="str">
        <f>+IFERROR(VLOOKUP($A133,'[4]SEGUIMIENTO CONTRATOS 2018'!$A:$AJ,3,0)," ")</f>
        <v>PATRICIA GALINDO ARIAS</v>
      </c>
      <c r="T133" s="751">
        <f>+IFERROR(VLOOKUP($A133,'[4]SEGUIMIENTO CONTRATOS 2018'!$A:$AJ,8,0)," ")</f>
        <v>43105</v>
      </c>
      <c r="U133" s="698" t="str">
        <f>+IFERROR(VLOOKUP($A133,'[4]SEGUIMIENTO CONTRATOS 2018'!$A:$AJ,9,0)," ")</f>
        <v>Prestar servicios profesionales en la Oficina de Tecnologías de la Información y las Comunicaciones de Función Pública para adelantar los procesos de selección. Incluyendo las fases precontractual, contractual y post-contractual, necesarios para la adquisicion de bienes y servicios con cargo al proyecto de inversion "Mejoramiento de la Gestión de las Politicas Publicas a Través  de las Tecnologías de Información TICS".</v>
      </c>
      <c r="V133" s="698" t="str">
        <f>+IFERROR(VLOOKUP($A133,'[4]SEGUIMIENTO CONTRATOS 2018'!$A:$AJ,11,0)," ")</f>
        <v>PRESTACION DE SERVICIOS PROFESIONALES</v>
      </c>
      <c r="W133" s="752">
        <f>+IFERROR(VLOOKUP($A133,'[4]SEGUIMIENTO CONTRATOS 2018'!$A:$AJ,13,0),0)</f>
        <v>21200000</v>
      </c>
      <c r="X133" s="698">
        <f>+IFERROR(VLOOKUP($A133,'[4]SEGUIMIENTO CONTRATOS 2018'!$A:$AJ,14,0),0)</f>
        <v>0</v>
      </c>
      <c r="Y133" s="752">
        <f>+IFERROR(VLOOKUP($A133,'[4]SEGUIMIENTO CONTRATOS 2018'!$A:$AJ,15,0),0)</f>
        <v>21200000</v>
      </c>
      <c r="Z133" s="752">
        <f>+IFERROR(VLOOKUP($A133,'[4]SEGUIMIENTO CONTRATOS 2018'!$A:$AJ,15,0),0)</f>
        <v>21200000</v>
      </c>
      <c r="AA133" s="698" t="str">
        <f>+IFERROR(VLOOKUP($A133,'[4]SEGUIMIENTO CONTRATOS 2018'!$A:$AJ,16,0)," ")</f>
        <v>Cinco (5) mensualidades vencidas, cada una por valor de CUATRO MILLONES DOSCIENTOS CUARENTA MIL PESOS ($4’240.000) M/CTE.</v>
      </c>
      <c r="AB133" s="698" t="str">
        <f>+IFERROR(VLOOKUP($A133,'[4]SEGUIMIENTO CONTRATOS 2018'!$A:$AL,38,0)," ")</f>
        <v xml:space="preserve">6618 </v>
      </c>
      <c r="AC133" s="698" t="str">
        <f>+IFERROR(VLOOKUP($A133,'[4]SEGUIMIENTO CONTRATOS 2018'!$A:$AJ,24,0)," ")</f>
        <v>Cinco (05) meses, contado a partir del perfeccionamiento del mismo y registro presupuestal.</v>
      </c>
      <c r="AD133" s="751">
        <f>+IFERROR(VLOOKUP($A133,'[4]SEGUIMIENTO CONTRATOS 2018'!$A:$AJ,25,0)," ")</f>
        <v>43105</v>
      </c>
      <c r="AE133" s="751">
        <f>+IFERROR(VLOOKUP($A133,'[4]SEGUIMIENTO CONTRATOS 2018'!$A:$AJ,26,0)," ")</f>
        <v>43255</v>
      </c>
      <c r="AF133" s="698" t="str">
        <f>+IFERROR(VLOOKUP($A133,'[4]SEGUIMIENTO CONTRATOS 2018'!$A:$AJ,30,0)," ")</f>
        <v>HECTOR JULIO MELO OCAMPO</v>
      </c>
      <c r="AG133" s="698" t="str">
        <f>+IFERROR(VLOOKUP($A133,'[4]SEGUIMIENTO CONTRATOS 2018'!$A:$AJ,31,0)," ")</f>
        <v xml:space="preserve">OFICINA DE TECNOLOGIAS DE LA INFORMACION Y LAS COMUNICACIONES </v>
      </c>
    </row>
    <row r="134" spans="1:33" ht="175.5" x14ac:dyDescent="0.25">
      <c r="A134" s="690">
        <f t="shared" si="3"/>
        <v>109</v>
      </c>
      <c r="B134" s="691" t="s">
        <v>492</v>
      </c>
      <c r="C134" s="692">
        <v>80101706</v>
      </c>
      <c r="D134" s="693" t="s">
        <v>539</v>
      </c>
      <c r="E134" s="691" t="s">
        <v>48</v>
      </c>
      <c r="F134" s="691">
        <v>1</v>
      </c>
      <c r="G134" s="694" t="s">
        <v>73</v>
      </c>
      <c r="H134" s="695">
        <v>5</v>
      </c>
      <c r="I134" s="691" t="s">
        <v>61</v>
      </c>
      <c r="J134" s="691" t="s">
        <v>66</v>
      </c>
      <c r="K134" s="691" t="s">
        <v>585</v>
      </c>
      <c r="L134" s="696">
        <v>21200000</v>
      </c>
      <c r="M134" s="697">
        <v>21200000</v>
      </c>
      <c r="N134" s="691" t="s">
        <v>51</v>
      </c>
      <c r="O134" s="691" t="s">
        <v>36</v>
      </c>
      <c r="P134" s="691" t="s">
        <v>308</v>
      </c>
      <c r="Q134" s="80"/>
      <c r="R134" s="698" t="str">
        <f>+IFERROR(VLOOKUP($A134,'[4]SEGUIMIENTO CONTRATOS 2018'!$A:$AJ,2,0)," ")</f>
        <v>015-2018</v>
      </c>
      <c r="S134" s="698" t="str">
        <f>+IFERROR(VLOOKUP($A134,'[4]SEGUIMIENTO CONTRATOS 2018'!$A:$AJ,3,0)," ")</f>
        <v>GREISTLY KARINE VEGA PEREZ</v>
      </c>
      <c r="T134" s="751">
        <f>+IFERROR(VLOOKUP($A134,'[4]SEGUIMIENTO CONTRATOS 2018'!$A:$AJ,8,0)," ")</f>
        <v>43109</v>
      </c>
      <c r="U134" s="698" t="str">
        <f>+IFERROR(VLOOKUP($A134,'[4]SEGUIMIENTO CONTRATOS 2018'!$A:$AJ,9,0)," ")</f>
        <v>Prestar servicios profesionales en la Oficina de Tecnologías de la Información y las Comunicaciones de Función Pública para apoyar desde el punto de vista financiero en los procesos de selección para la adquisición de bienes y servicios con cargo al Proyecto de Inversión “Mejoramiento de la Gestión de las Políticas Públicas a Través de las Tecnologías de Información TICS”</v>
      </c>
      <c r="V134" s="698" t="str">
        <f>+IFERROR(VLOOKUP($A134,'[4]SEGUIMIENTO CONTRATOS 2018'!$A:$AJ,11,0)," ")</f>
        <v>PRESTACION DE SERVICIOS PROFESIONALES</v>
      </c>
      <c r="W134" s="752">
        <f>+IFERROR(VLOOKUP($A134,'[4]SEGUIMIENTO CONTRATOS 2018'!$A:$AJ,13,0),0)</f>
        <v>21200000</v>
      </c>
      <c r="X134" s="698">
        <f>+IFERROR(VLOOKUP($A134,'[4]SEGUIMIENTO CONTRATOS 2018'!$A:$AJ,14,0),0)</f>
        <v>0</v>
      </c>
      <c r="Y134" s="752">
        <f>+IFERROR(VLOOKUP($A134,'[4]SEGUIMIENTO CONTRATOS 2018'!$A:$AJ,15,0),0)</f>
        <v>21200000</v>
      </c>
      <c r="Z134" s="752">
        <f>+IFERROR(VLOOKUP($A134,'[4]SEGUIMIENTO CONTRATOS 2018'!$A:$AJ,15,0),0)</f>
        <v>21200000</v>
      </c>
      <c r="AA134" s="698" t="str">
        <f>+IFERROR(VLOOKUP($A134,'[4]SEGUIMIENTO CONTRATOS 2018'!$A:$AJ,16,0)," ")</f>
        <v>Cinco (5) mensualidades vencidas, cada una por valor de CUATRO MILLONES DOSCIENTOS CUARENTA MIL PESOS ($4’240.000) M/CTE.</v>
      </c>
      <c r="AB134" s="698" t="str">
        <f>+IFERROR(VLOOKUP($A134,'[4]SEGUIMIENTO CONTRATOS 2018'!$A:$AL,38,0)," ")</f>
        <v xml:space="preserve">5718 </v>
      </c>
      <c r="AC134" s="698" t="str">
        <f>+IFERROR(VLOOKUP($A134,'[4]SEGUIMIENTO CONTRATOS 2018'!$A:$AJ,24,0)," ")</f>
        <v>Cinco (05) meses, contado a partir del perfeccionamiento del mismo y registro presupuestal.</v>
      </c>
      <c r="AD134" s="751">
        <f>+IFERROR(VLOOKUP($A134,'[4]SEGUIMIENTO CONTRATOS 2018'!$A:$AJ,25,0)," ")</f>
        <v>43109</v>
      </c>
      <c r="AE134" s="751">
        <f>+IFERROR(VLOOKUP($A134,'[4]SEGUIMIENTO CONTRATOS 2018'!$A:$AJ,26,0)," ")</f>
        <v>43259</v>
      </c>
      <c r="AF134" s="698" t="str">
        <f>+IFERROR(VLOOKUP($A134,'[4]SEGUIMIENTO CONTRATOS 2018'!$A:$AJ,30,0)," ")</f>
        <v>HECTOR JULIO MELO OCAMPO</v>
      </c>
      <c r="AG134" s="698" t="str">
        <f>+IFERROR(VLOOKUP($A134,'[4]SEGUIMIENTO CONTRATOS 2018'!$A:$AJ,31,0)," ")</f>
        <v xml:space="preserve">OFICINA DE TECNOLOGIAS DE LA INFORMACION Y LAS COMUNICACIONES </v>
      </c>
    </row>
    <row r="135" spans="1:33" ht="195" x14ac:dyDescent="0.25">
      <c r="A135" s="690">
        <f t="shared" si="3"/>
        <v>110</v>
      </c>
      <c r="B135" s="691" t="s">
        <v>492</v>
      </c>
      <c r="C135" s="692">
        <v>80101706</v>
      </c>
      <c r="D135" s="693" t="s">
        <v>539</v>
      </c>
      <c r="E135" s="691" t="s">
        <v>48</v>
      </c>
      <c r="F135" s="691">
        <v>1</v>
      </c>
      <c r="G135" s="694" t="s">
        <v>73</v>
      </c>
      <c r="H135" s="695">
        <v>5</v>
      </c>
      <c r="I135" s="691" t="s">
        <v>61</v>
      </c>
      <c r="J135" s="691" t="s">
        <v>66</v>
      </c>
      <c r="K135" s="691" t="s">
        <v>585</v>
      </c>
      <c r="L135" s="696">
        <v>35000000</v>
      </c>
      <c r="M135" s="697">
        <v>35000000</v>
      </c>
      <c r="N135" s="691" t="s">
        <v>51</v>
      </c>
      <c r="O135" s="691" t="s">
        <v>36</v>
      </c>
      <c r="P135" s="691" t="s">
        <v>308</v>
      </c>
      <c r="Q135" s="80"/>
      <c r="R135" s="698" t="str">
        <f>+IFERROR(VLOOKUP($A135,'[4]SEGUIMIENTO CONTRATOS 2018'!$A:$AJ,2,0)," ")</f>
        <v>016-2018</v>
      </c>
      <c r="S135" s="698" t="str">
        <f>+IFERROR(VLOOKUP($A135,'[4]SEGUIMIENTO CONTRATOS 2018'!$A:$AJ,3,0)," ")</f>
        <v>VICTOR HUGO JAUREGUI PAZ</v>
      </c>
      <c r="T135" s="751">
        <f>+IFERROR(VLOOKUP($A135,'[4]SEGUIMIENTO CONTRATOS 2018'!$A:$AJ,8,0)," ")</f>
        <v>43109</v>
      </c>
      <c r="U135" s="698" t="str">
        <f>+IFERROR(VLOOKUP($A135,'[4]SEGUIMIENTO CONTRATOS 2018'!$A:$AJ,9,0)," ")</f>
        <v>Prestar servicios profesionales en la Oficina de Tecnologías de la Información y las Comunicaciones de Función Pública, para apoyar el desarrollo, optimización, mejoramiento, actualización, monitoreo y mantenimiento de los sistemas de información y gestión misionales y de apoyo de la Entidad, así como los portales web que apoyan dichos sistemas, incorporando los lineamientos de Gobierno Digital.</v>
      </c>
      <c r="V135" s="698" t="str">
        <f>+IFERROR(VLOOKUP($A135,'[4]SEGUIMIENTO CONTRATOS 2018'!$A:$AJ,11,0)," ")</f>
        <v>PRESTACION DE SERVICIOS PROFESIONALES</v>
      </c>
      <c r="W135" s="752">
        <f>+IFERROR(VLOOKUP($A135,'[4]SEGUIMIENTO CONTRATOS 2018'!$A:$AJ,13,0),0)</f>
        <v>35000000</v>
      </c>
      <c r="X135" s="698">
        <f>+IFERROR(VLOOKUP($A135,'[4]SEGUIMIENTO CONTRATOS 2018'!$A:$AJ,14,0),0)</f>
        <v>0</v>
      </c>
      <c r="Y135" s="752">
        <f>+IFERROR(VLOOKUP($A135,'[4]SEGUIMIENTO CONTRATOS 2018'!$A:$AJ,15,0),0)</f>
        <v>35000000</v>
      </c>
      <c r="Z135" s="752">
        <f>+IFERROR(VLOOKUP($A135,'[4]SEGUIMIENTO CONTRATOS 2018'!$A:$AJ,15,0),0)</f>
        <v>35000000</v>
      </c>
      <c r="AA135" s="698" t="str">
        <f>+IFERROR(VLOOKUP($A135,'[4]SEGUIMIENTO CONTRATOS 2018'!$A:$AJ,16,0)," ")</f>
        <v>Cinco (5) mensualidades vencidas, cada una por valor de SIETE MILLONES DE PESOS ($7’000.000) M/CTE.</v>
      </c>
      <c r="AB135" s="698" t="str">
        <f>+IFERROR(VLOOKUP($A135,'[4]SEGUIMIENTO CONTRATOS 2018'!$A:$AL,38,0)," ")</f>
        <v xml:space="preserve">6818 </v>
      </c>
      <c r="AC135" s="698" t="str">
        <f>+IFERROR(VLOOKUP($A135,'[4]SEGUIMIENTO CONTRATOS 2018'!$A:$AJ,24,0)," ")</f>
        <v>Cinco (05) meses, contado a partir del perfeccionamiento del mismo y registro presupuestal.</v>
      </c>
      <c r="AD135" s="751">
        <f>+IFERROR(VLOOKUP($A135,'[4]SEGUIMIENTO CONTRATOS 2018'!$A:$AJ,25,0)," ")</f>
        <v>43115</v>
      </c>
      <c r="AE135" s="751">
        <f>+IFERROR(VLOOKUP($A135,'[4]SEGUIMIENTO CONTRATOS 2018'!$A:$AJ,26,0)," ")</f>
        <v>43265</v>
      </c>
      <c r="AF135" s="698" t="str">
        <f>+IFERROR(VLOOKUP($A135,'[4]SEGUIMIENTO CONTRATOS 2018'!$A:$AJ,30,0)," ")</f>
        <v>FRANCISCO JOSE URBINA SUAREZ</v>
      </c>
      <c r="AG135" s="698" t="str">
        <f>+IFERROR(VLOOKUP($A135,'[4]SEGUIMIENTO CONTRATOS 2018'!$A:$AJ,31,0)," ")</f>
        <v xml:space="preserve">OFICINA DE TECNOLOGIAS DE LA INFORMACION Y LAS COMUNICACIONES </v>
      </c>
    </row>
    <row r="136" spans="1:33" ht="195" x14ac:dyDescent="0.25">
      <c r="A136" s="690">
        <f t="shared" si="3"/>
        <v>111</v>
      </c>
      <c r="B136" s="691" t="s">
        <v>492</v>
      </c>
      <c r="C136" s="692">
        <v>80101706</v>
      </c>
      <c r="D136" s="693" t="s">
        <v>539</v>
      </c>
      <c r="E136" s="691" t="s">
        <v>48</v>
      </c>
      <c r="F136" s="691">
        <v>1</v>
      </c>
      <c r="G136" s="694" t="s">
        <v>73</v>
      </c>
      <c r="H136" s="695">
        <v>5</v>
      </c>
      <c r="I136" s="691" t="s">
        <v>61</v>
      </c>
      <c r="J136" s="691" t="s">
        <v>66</v>
      </c>
      <c r="K136" s="691" t="s">
        <v>585</v>
      </c>
      <c r="L136" s="696">
        <v>32550000</v>
      </c>
      <c r="M136" s="697">
        <v>32550000</v>
      </c>
      <c r="N136" s="691" t="s">
        <v>51</v>
      </c>
      <c r="O136" s="691" t="s">
        <v>36</v>
      </c>
      <c r="P136" s="691" t="s">
        <v>308</v>
      </c>
      <c r="Q136" s="80"/>
      <c r="R136" s="698" t="str">
        <f>+IFERROR(VLOOKUP($A136,'[4]SEGUIMIENTO CONTRATOS 2018'!$A:$AJ,2,0)," ")</f>
        <v>017-2018</v>
      </c>
      <c r="S136" s="698" t="str">
        <f>+IFERROR(VLOOKUP($A136,'[4]SEGUIMIENTO CONTRATOS 2018'!$A:$AJ,3,0)," ")</f>
        <v>JHON EDINSON HALLEY MOSQUERA MIRANDA</v>
      </c>
      <c r="T136" s="751">
        <f>+IFERROR(VLOOKUP($A136,'[4]SEGUIMIENTO CONTRATOS 2018'!$A:$AJ,8,0)," ")</f>
        <v>43109</v>
      </c>
      <c r="U136" s="698" t="str">
        <f>+IFERROR(VLOOKUP($A136,'[4]SEGUIMIENTO CONTRATOS 2018'!$A:$AJ,9,0)," ")</f>
        <v xml:space="preserve">Prestar servicios profesionales en la Oficina de Tecnologías de la Información y las Comunicaciones de Función Pública, para apoyar las necesidades de desarrollo, integración y mejoramiento de los sistemas de información y gestión misionales y de apoyo de la Entidad, así como de los portales web que soportan dichos sistemas, incorporando los lineamientos de Gobierno Digital. </v>
      </c>
      <c r="V136" s="698" t="str">
        <f>+IFERROR(VLOOKUP($A136,'[4]SEGUIMIENTO CONTRATOS 2018'!$A:$AJ,11,0)," ")</f>
        <v>PRESTACION DE SERVICIOS PROFESIONALES</v>
      </c>
      <c r="W136" s="752">
        <f>+IFERROR(VLOOKUP($A136,'[4]SEGUIMIENTO CONTRATOS 2018'!$A:$AJ,13,0),0)</f>
        <v>32550000</v>
      </c>
      <c r="X136" s="698">
        <f>+IFERROR(VLOOKUP($A136,'[4]SEGUIMIENTO CONTRATOS 2018'!$A:$AJ,14,0),0)</f>
        <v>0</v>
      </c>
      <c r="Y136" s="752">
        <f>+IFERROR(VLOOKUP($A136,'[4]SEGUIMIENTO CONTRATOS 2018'!$A:$AJ,15,0),0)</f>
        <v>32550000</v>
      </c>
      <c r="Z136" s="752">
        <f>+IFERROR(VLOOKUP($A136,'[4]SEGUIMIENTO CONTRATOS 2018'!$A:$AJ,15,0),0)</f>
        <v>32550000</v>
      </c>
      <c r="AA136" s="698" t="str">
        <f>+IFERROR(VLOOKUP($A136,'[4]SEGUIMIENTO CONTRATOS 2018'!$A:$AJ,16,0)," ")</f>
        <v>Cinco (5) mensualidades vencidas, cada una por valor de SEIS MILLONES QUINIENTOS DIEZ MIL PESOS ($6’510.000) M/CTE.</v>
      </c>
      <c r="AB136" s="698" t="str">
        <f>+IFERROR(VLOOKUP($A136,'[4]SEGUIMIENTO CONTRATOS 2018'!$A:$AL,38,0)," ")</f>
        <v xml:space="preserve">6918 </v>
      </c>
      <c r="AC136" s="698" t="str">
        <f>+IFERROR(VLOOKUP($A136,'[4]SEGUIMIENTO CONTRATOS 2018'!$A:$AJ,24,0)," ")</f>
        <v>Cinco (05) meses, contado a partir del perfeccionamiento del mismo y registro presupuestal.</v>
      </c>
      <c r="AD136" s="751">
        <f>+IFERROR(VLOOKUP($A136,'[4]SEGUIMIENTO CONTRATOS 2018'!$A:$AJ,25,0)," ")</f>
        <v>43109</v>
      </c>
      <c r="AE136" s="751">
        <f>+IFERROR(VLOOKUP($A136,'[4]SEGUIMIENTO CONTRATOS 2018'!$A:$AJ,26,0)," ")</f>
        <v>43259</v>
      </c>
      <c r="AF136" s="698" t="str">
        <f>+IFERROR(VLOOKUP($A136,'[4]SEGUIMIENTO CONTRATOS 2018'!$A:$AJ,30,0)," ")</f>
        <v>ASTRID RUIZ ZAMUDIO</v>
      </c>
      <c r="AG136" s="698" t="str">
        <f>+IFERROR(VLOOKUP($A136,'[4]SEGUIMIENTO CONTRATOS 2018'!$A:$AJ,31,0)," ")</f>
        <v xml:space="preserve">OFICINA DE TECNOLOGIAS DE LA INFORMACION Y LAS COMUNICACIONES </v>
      </c>
    </row>
    <row r="137" spans="1:33" ht="195" x14ac:dyDescent="0.25">
      <c r="A137" s="690">
        <f t="shared" si="3"/>
        <v>112</v>
      </c>
      <c r="B137" s="691" t="s">
        <v>492</v>
      </c>
      <c r="C137" s="692">
        <v>80101706</v>
      </c>
      <c r="D137" s="693" t="s">
        <v>539</v>
      </c>
      <c r="E137" s="691" t="s">
        <v>48</v>
      </c>
      <c r="F137" s="691">
        <v>1</v>
      </c>
      <c r="G137" s="694" t="s">
        <v>73</v>
      </c>
      <c r="H137" s="695">
        <v>5</v>
      </c>
      <c r="I137" s="691" t="s">
        <v>61</v>
      </c>
      <c r="J137" s="691" t="s">
        <v>66</v>
      </c>
      <c r="K137" s="691" t="s">
        <v>585</v>
      </c>
      <c r="L137" s="696">
        <v>32550000</v>
      </c>
      <c r="M137" s="697">
        <v>32550000</v>
      </c>
      <c r="N137" s="691" t="s">
        <v>51</v>
      </c>
      <c r="O137" s="691" t="s">
        <v>36</v>
      </c>
      <c r="P137" s="691" t="s">
        <v>308</v>
      </c>
      <c r="Q137" s="80"/>
      <c r="R137" s="698" t="str">
        <f>+IFERROR(VLOOKUP($A137,'[4]SEGUIMIENTO CONTRATOS 2018'!$A:$AJ,2,0)," ")</f>
        <v>041-2018</v>
      </c>
      <c r="S137" s="698" t="str">
        <f>+IFERROR(VLOOKUP($A137,'[4]SEGUIMIENTO CONTRATOS 2018'!$A:$AJ,3,0)," ")</f>
        <v>JACK LEONARDO MARTINEZ VANEGAS</v>
      </c>
      <c r="T137" s="751">
        <f>+IFERROR(VLOOKUP($A137,'[4]SEGUIMIENTO CONTRATOS 2018'!$A:$AJ,8,0)," ")</f>
        <v>43109</v>
      </c>
      <c r="U137" s="698" t="str">
        <f>+IFERROR(VLOOKUP($A137,'[4]SEGUIMIENTO CONTRATOS 2018'!$A:$AJ,9,0)," ")</f>
        <v>Prestar servicios profesionales en la Oficina de Tecnologias de la Información y las Comunicaciones de Función Pública, para apoyar las necesidades de desarrollo, integración y mejoramiento de los sistemas de información y gestión misionales y de apoyo de la Entidad, asi como de los portales web que soportan dichos sistemas, incorporando los lineamientos de gobierno digital.</v>
      </c>
      <c r="V137" s="698" t="str">
        <f>+IFERROR(VLOOKUP($A137,'[4]SEGUIMIENTO CONTRATOS 2018'!$A:$AJ,11,0)," ")</f>
        <v>PRESTACION DE SERVICIOS PROFESIONALES</v>
      </c>
      <c r="W137" s="752">
        <f>+IFERROR(VLOOKUP($A137,'[4]SEGUIMIENTO CONTRATOS 2018'!$A:$AJ,13,0),0)</f>
        <v>32550000</v>
      </c>
      <c r="X137" s="698">
        <f>+IFERROR(VLOOKUP($A137,'[4]SEGUIMIENTO CONTRATOS 2018'!$A:$AJ,14,0),0)</f>
        <v>0</v>
      </c>
      <c r="Y137" s="752">
        <f>+IFERROR(VLOOKUP($A137,'[4]SEGUIMIENTO CONTRATOS 2018'!$A:$AJ,15,0),0)</f>
        <v>32550000</v>
      </c>
      <c r="Z137" s="752">
        <f>+IFERROR(VLOOKUP($A137,'[4]SEGUIMIENTO CONTRATOS 2018'!$A:$AJ,15,0),0)</f>
        <v>32550000</v>
      </c>
      <c r="AA137" s="698" t="str">
        <f>+IFERROR(VLOOKUP($A137,'[4]SEGUIMIENTO CONTRATOS 2018'!$A:$AJ,16,0)," ")</f>
        <v>Cinco (5) mensualidades vencidas, cada una por valor de SEIS MILLONES QUINIENTOS DIEZ MIL PESOS ($6’510.000) M/CTE.</v>
      </c>
      <c r="AB137" s="698" t="str">
        <f>+IFERROR(VLOOKUP($A137,'[4]SEGUIMIENTO CONTRATOS 2018'!$A:$AL,38,0)," ")</f>
        <v xml:space="preserve">7018 </v>
      </c>
      <c r="AC137" s="698" t="str">
        <f>+IFERROR(VLOOKUP($A137,'[4]SEGUIMIENTO CONTRATOS 2018'!$A:$AJ,24,0)," ")</f>
        <v>Cinco (05) meses, contado a partir del perfeccionamiento del mismo y registro presupuestal.</v>
      </c>
      <c r="AD137" s="751">
        <f>+IFERROR(VLOOKUP($A137,'[4]SEGUIMIENTO CONTRATOS 2018'!$A:$AJ,25,0)," ")</f>
        <v>43110</v>
      </c>
      <c r="AE137" s="751">
        <f>+IFERROR(VLOOKUP($A137,'[4]SEGUIMIENTO CONTRATOS 2018'!$A:$AJ,26,0)," ")</f>
        <v>43260</v>
      </c>
      <c r="AF137" s="698" t="str">
        <f>+IFERROR(VLOOKUP($A137,'[4]SEGUIMIENTO CONTRATOS 2018'!$A:$AJ,30,0)," ")</f>
        <v>EDUAR ALFONSO GAVIRIA VERA</v>
      </c>
      <c r="AG137" s="698" t="str">
        <f>+IFERROR(VLOOKUP($A137,'[4]SEGUIMIENTO CONTRATOS 2018'!$A:$AJ,31,0)," ")</f>
        <v xml:space="preserve">OFICINA DE TECNOLOGIAS DE LA INFORMACION Y LAS COMUNICACIONES </v>
      </c>
    </row>
    <row r="138" spans="1:33" ht="195" x14ac:dyDescent="0.25">
      <c r="A138" s="690">
        <f t="shared" si="3"/>
        <v>113</v>
      </c>
      <c r="B138" s="691" t="s">
        <v>492</v>
      </c>
      <c r="C138" s="692">
        <v>80101706</v>
      </c>
      <c r="D138" s="693" t="s">
        <v>539</v>
      </c>
      <c r="E138" s="691" t="s">
        <v>48</v>
      </c>
      <c r="F138" s="691">
        <v>1</v>
      </c>
      <c r="G138" s="694" t="s">
        <v>73</v>
      </c>
      <c r="H138" s="695">
        <v>5</v>
      </c>
      <c r="I138" s="691" t="s">
        <v>61</v>
      </c>
      <c r="J138" s="691" t="s">
        <v>66</v>
      </c>
      <c r="K138" s="691" t="s">
        <v>585</v>
      </c>
      <c r="L138" s="696">
        <v>32550000</v>
      </c>
      <c r="M138" s="697">
        <v>32550000</v>
      </c>
      <c r="N138" s="691" t="s">
        <v>51</v>
      </c>
      <c r="O138" s="691" t="s">
        <v>36</v>
      </c>
      <c r="P138" s="691" t="s">
        <v>308</v>
      </c>
      <c r="Q138" s="80"/>
      <c r="R138" s="698" t="str">
        <f>+IFERROR(VLOOKUP($A138,'[4]SEGUIMIENTO CONTRATOS 2018'!$A:$AJ,2,0)," ")</f>
        <v>039-2018</v>
      </c>
      <c r="S138" s="698" t="str">
        <f>+IFERROR(VLOOKUP($A138,'[4]SEGUIMIENTO CONTRATOS 2018'!$A:$AJ,3,0)," ")</f>
        <v>PEDRO ANTONIO GARCIA MEDINA</v>
      </c>
      <c r="T138" s="751">
        <f>+IFERROR(VLOOKUP($A138,'[4]SEGUIMIENTO CONTRATOS 2018'!$A:$AJ,8,0)," ")</f>
        <v>43109</v>
      </c>
      <c r="U138" s="698" t="str">
        <f>+IFERROR(VLOOKUP($A138,'[4]SEGUIMIENTO CONTRATOS 2018'!$A:$AJ,9,0)," ")</f>
        <v xml:space="preserve">Prestar servicios profesionales en la Oficina de Tecnologías de la Información y las Comunicaciones de Función Pública, para apoyar las necesidades de desarrollo, integración y mejoramiento de los sistemas de información y gestión misionales y de apoyo de la Entidad, así como de los portales web que soportan dichos sistemas, incorporando los lineamientos de Gobierno Digital. </v>
      </c>
      <c r="V138" s="698" t="str">
        <f>+IFERROR(VLOOKUP($A138,'[4]SEGUIMIENTO CONTRATOS 2018'!$A:$AJ,11,0)," ")</f>
        <v>PRESTACION DE SERVICIOS PROFESIONALES</v>
      </c>
      <c r="W138" s="752">
        <f>+IFERROR(VLOOKUP($A138,'[4]SEGUIMIENTO CONTRATOS 2018'!$A:$AJ,13,0),0)</f>
        <v>32550000</v>
      </c>
      <c r="X138" s="698">
        <f>+IFERROR(VLOOKUP($A138,'[4]SEGUIMIENTO CONTRATOS 2018'!$A:$AJ,14,0),0)</f>
        <v>0</v>
      </c>
      <c r="Y138" s="752">
        <f>+IFERROR(VLOOKUP($A138,'[4]SEGUIMIENTO CONTRATOS 2018'!$A:$AJ,15,0),0)</f>
        <v>32550000</v>
      </c>
      <c r="Z138" s="752">
        <f>+IFERROR(VLOOKUP($A138,'[4]SEGUIMIENTO CONTRATOS 2018'!$A:$AJ,15,0),0)</f>
        <v>32550000</v>
      </c>
      <c r="AA138" s="698" t="str">
        <f>+IFERROR(VLOOKUP($A138,'[4]SEGUIMIENTO CONTRATOS 2018'!$A:$AJ,16,0)," ")</f>
        <v>Cinco (5) mensualidades vencidas de SEIS MILLONES QUINIENTOS DIEZ MIL PESOS ($6’510.000) M/CTE.</v>
      </c>
      <c r="AB138" s="698" t="str">
        <f>+IFERROR(VLOOKUP($A138,'[4]SEGUIMIENTO CONTRATOS 2018'!$A:$AL,38,0)," ")</f>
        <v xml:space="preserve">7118 </v>
      </c>
      <c r="AC138" s="698" t="str">
        <f>+IFERROR(VLOOKUP($A138,'[4]SEGUIMIENTO CONTRATOS 2018'!$A:$AJ,24,0)," ")</f>
        <v>Cinco (05) meses, contado a partir del perfeccionamiento del mismo y registro presupuestal.</v>
      </c>
      <c r="AD138" s="751">
        <f>+IFERROR(VLOOKUP($A138,'[4]SEGUIMIENTO CONTRATOS 2018'!$A:$AJ,25,0)," ")</f>
        <v>43110</v>
      </c>
      <c r="AE138" s="751">
        <f>+IFERROR(VLOOKUP($A138,'[4]SEGUIMIENTO CONTRATOS 2018'!$A:$AJ,26,0)," ")</f>
        <v>43260</v>
      </c>
      <c r="AF138" s="698" t="str">
        <f>+IFERROR(VLOOKUP($A138,'[4]SEGUIMIENTO CONTRATOS 2018'!$A:$AJ,30,0)," ")</f>
        <v>FRANCISCO JOSE URBINA SUAREZ</v>
      </c>
      <c r="AG138" s="698" t="str">
        <f>+IFERROR(VLOOKUP($A138,'[4]SEGUIMIENTO CONTRATOS 2018'!$A:$AJ,31,0)," ")</f>
        <v xml:space="preserve">OFICINA DE TECNOLOGIAS DE LA INFORMACION Y LAS COMUNICACIONES </v>
      </c>
    </row>
    <row r="139" spans="1:33" ht="156" x14ac:dyDescent="0.25">
      <c r="A139" s="690">
        <f t="shared" si="3"/>
        <v>114</v>
      </c>
      <c r="B139" s="691" t="s">
        <v>235</v>
      </c>
      <c r="C139" s="692">
        <v>80101706</v>
      </c>
      <c r="D139" s="693" t="s">
        <v>543</v>
      </c>
      <c r="E139" s="691" t="s">
        <v>48</v>
      </c>
      <c r="F139" s="691">
        <v>1</v>
      </c>
      <c r="G139" s="694" t="s">
        <v>73</v>
      </c>
      <c r="H139" s="695">
        <v>5</v>
      </c>
      <c r="I139" s="691" t="s">
        <v>61</v>
      </c>
      <c r="J139" s="691" t="s">
        <v>66</v>
      </c>
      <c r="K139" s="691" t="s">
        <v>475</v>
      </c>
      <c r="L139" s="696">
        <v>18020000</v>
      </c>
      <c r="M139" s="697">
        <v>18020000</v>
      </c>
      <c r="N139" s="691" t="s">
        <v>51</v>
      </c>
      <c r="O139" s="691" t="s">
        <v>36</v>
      </c>
      <c r="P139" s="691" t="s">
        <v>501</v>
      </c>
      <c r="Q139" s="80"/>
      <c r="R139" s="698" t="str">
        <f>+IFERROR(VLOOKUP($A139,'[4]SEGUIMIENTO CONTRATOS 2018'!$A:$AJ,2,0)," ")</f>
        <v>019-2018</v>
      </c>
      <c r="S139" s="698" t="str">
        <f>+IFERROR(VLOOKUP($A139,'[4]SEGUIMIENTO CONTRATOS 2018'!$A:$AJ,3,0)," ")</f>
        <v>DANIEL FERNANDO LOZANO TOSCANO</v>
      </c>
      <c r="T139" s="751">
        <f>+IFERROR(VLOOKUP($A139,'[4]SEGUIMIENTO CONTRATOS 2018'!$A:$AJ,8,0)," ")</f>
        <v>43109</v>
      </c>
      <c r="U139" s="698" t="str">
        <f>+IFERROR(VLOOKUP($A139,'[4]SEGUIMIENTO CONTRATOS 2018'!$A:$AJ,9,0)," ")</f>
        <v>Prestar servicios profesionales en la Oficina Asesora de Planeación para apoyar el mejoramiento funcional de las herramientas y documentación del Sistema Integrado de Gestión de Función Pública, bajo los lineamientos del Modelo Integrado de Planeación y Gestión (MIPG) y demás requisitos aplicables a la Entidad.</v>
      </c>
      <c r="V139" s="698" t="str">
        <f>+IFERROR(VLOOKUP($A139,'[4]SEGUIMIENTO CONTRATOS 2018'!$A:$AJ,11,0)," ")</f>
        <v>PRESTACION DE SERVICIOS PROFESIONALES</v>
      </c>
      <c r="W139" s="752">
        <f>+IFERROR(VLOOKUP($A139,'[4]SEGUIMIENTO CONTRATOS 2018'!$A:$AJ,13,0),0)</f>
        <v>18020000</v>
      </c>
      <c r="X139" s="698">
        <f>+IFERROR(VLOOKUP($A139,'[4]SEGUIMIENTO CONTRATOS 2018'!$A:$AJ,14,0),0)</f>
        <v>0</v>
      </c>
      <c r="Y139" s="752">
        <f>+IFERROR(VLOOKUP($A139,'[4]SEGUIMIENTO CONTRATOS 2018'!$A:$AJ,15,0),0)</f>
        <v>18020000</v>
      </c>
      <c r="Z139" s="752">
        <f>+IFERROR(VLOOKUP($A139,'[4]SEGUIMIENTO CONTRATOS 2018'!$A:$AJ,15,0),0)</f>
        <v>18020000</v>
      </c>
      <c r="AA139" s="698" t="str">
        <f>+IFERROR(VLOOKUP($A139,'[4]SEGUIMIENTO CONTRATOS 2018'!$A:$AJ,16,0)," ")</f>
        <v>Cinco (5) mensualidades vencidas, cada una por valor de TRES MILLONES SEISCIENTOS CUATRO MIL PESOS ($3.604.000) M/CTE</v>
      </c>
      <c r="AB139" s="698" t="str">
        <f>+IFERROR(VLOOKUP($A139,'[4]SEGUIMIENTO CONTRATOS 2018'!$A:$AL,38,0)," ")</f>
        <v xml:space="preserve">7218 </v>
      </c>
      <c r="AC139" s="698" t="str">
        <f>+IFERROR(VLOOKUP($A139,'[4]SEGUIMIENTO CONTRATOS 2018'!$A:$AJ,24,0)," ")</f>
        <v>Cinco (05) meses, contado a partir del perfeccionamiento del mismo y registro presupuestal.</v>
      </c>
      <c r="AD139" s="751">
        <f>+IFERROR(VLOOKUP($A139,'[4]SEGUIMIENTO CONTRATOS 2018'!$A:$AJ,25,0)," ")</f>
        <v>43110</v>
      </c>
      <c r="AE139" s="751">
        <f>+IFERROR(VLOOKUP($A139,'[4]SEGUIMIENTO CONTRATOS 2018'!$A:$AJ,26,0)," ")</f>
        <v>43260</v>
      </c>
      <c r="AF139" s="698" t="str">
        <f>+IFERROR(VLOOKUP($A139,'[4]SEGUIMIENTO CONTRATOS 2018'!$A:$AJ,30,0)," ")</f>
        <v xml:space="preserve">OLGA LUCÍA ARANGO  </v>
      </c>
      <c r="AG139" s="698" t="str">
        <f>+IFERROR(VLOOKUP($A139,'[4]SEGUIMIENTO CONTRATOS 2018'!$A:$AJ,31,0)," ")</f>
        <v>OFICINA ASESORA DE PLANEACION</v>
      </c>
    </row>
    <row r="140" spans="1:33" ht="136.5" x14ac:dyDescent="0.25">
      <c r="A140" s="690">
        <f t="shared" si="3"/>
        <v>115</v>
      </c>
      <c r="B140" s="691" t="s">
        <v>235</v>
      </c>
      <c r="C140" s="692">
        <v>80101706</v>
      </c>
      <c r="D140" s="693" t="s">
        <v>543</v>
      </c>
      <c r="E140" s="691" t="s">
        <v>48</v>
      </c>
      <c r="F140" s="691">
        <v>1</v>
      </c>
      <c r="G140" s="694" t="s">
        <v>73</v>
      </c>
      <c r="H140" s="695">
        <v>5</v>
      </c>
      <c r="I140" s="691" t="s">
        <v>61</v>
      </c>
      <c r="J140" s="691" t="s">
        <v>66</v>
      </c>
      <c r="K140" s="691" t="s">
        <v>475</v>
      </c>
      <c r="L140" s="696">
        <v>27560000</v>
      </c>
      <c r="M140" s="697">
        <v>27560000</v>
      </c>
      <c r="N140" s="691" t="s">
        <v>51</v>
      </c>
      <c r="O140" s="691" t="s">
        <v>36</v>
      </c>
      <c r="P140" s="691" t="s">
        <v>501</v>
      </c>
      <c r="Q140" s="80"/>
      <c r="R140" s="698" t="str">
        <f>+IFERROR(VLOOKUP($A140,'[4]SEGUIMIENTO CONTRATOS 2018'!$A:$AJ,2,0)," ")</f>
        <v>023-2018</v>
      </c>
      <c r="S140" s="698" t="str">
        <f>+IFERROR(VLOOKUP($A140,'[4]SEGUIMIENTO CONTRATOS 2018'!$A:$AJ,3,0)," ")</f>
        <v>JOHANNA JIMENEZ CORREA</v>
      </c>
      <c r="T140" s="751">
        <f>+IFERROR(VLOOKUP($A140,'[4]SEGUIMIENTO CONTRATOS 2018'!$A:$AJ,8,0)," ")</f>
        <v>43109</v>
      </c>
      <c r="U140" s="698" t="str">
        <f>+IFERROR(VLOOKUP($A140,'[4]SEGUIMIENTO CONTRATOS 2018'!$A:$AJ,9,0)," ")</f>
        <v>Prestar servicios profesionales en la Oficina Asesora de Planeación de Función Pública para apoyar la formulación y monitoreo del Plan de Acción Anual 2018, así como el seguimiento de las metas e indicadores del Plan Nacional de Desarrollo, Plan Estratégico Sectorial y Plan de Acción Anual.</v>
      </c>
      <c r="V140" s="698" t="str">
        <f>+IFERROR(VLOOKUP($A140,'[4]SEGUIMIENTO CONTRATOS 2018'!$A:$AJ,11,0)," ")</f>
        <v>PRESTACION DE SERVICIOS PROFESIONALES</v>
      </c>
      <c r="W140" s="752">
        <f>+IFERROR(VLOOKUP($A140,'[4]SEGUIMIENTO CONTRATOS 2018'!$A:$AJ,13,0),0)</f>
        <v>27560000</v>
      </c>
      <c r="X140" s="698">
        <f>+IFERROR(VLOOKUP($A140,'[4]SEGUIMIENTO CONTRATOS 2018'!$A:$AJ,14,0),0)</f>
        <v>0</v>
      </c>
      <c r="Y140" s="752">
        <f>+IFERROR(VLOOKUP($A140,'[4]SEGUIMIENTO CONTRATOS 2018'!$A:$AJ,15,0),0)</f>
        <v>27560000</v>
      </c>
      <c r="Z140" s="752">
        <f>+IFERROR(VLOOKUP($A140,'[4]SEGUIMIENTO CONTRATOS 2018'!$A:$AJ,15,0),0)</f>
        <v>27560000</v>
      </c>
      <c r="AA140" s="698" t="str">
        <f>+IFERROR(VLOOKUP($A140,'[4]SEGUIMIENTO CONTRATOS 2018'!$A:$AJ,16,0)," ")</f>
        <v>Cinco (5) mensualidades vencidas, cada una por valor de CINCO MILLONES QUINIENTOS DOCE MIL PESOS ($5’512.000) M/CTE.</v>
      </c>
      <c r="AB140" s="698" t="str">
        <f>+IFERROR(VLOOKUP($A140,'[4]SEGUIMIENTO CONTRATOS 2018'!$A:$AL,38,0)," ")</f>
        <v xml:space="preserve">7318 </v>
      </c>
      <c r="AC140" s="698" t="str">
        <f>+IFERROR(VLOOKUP($A140,'[4]SEGUIMIENTO CONTRATOS 2018'!$A:$AJ,24,0)," ")</f>
        <v>Cinco (05) meses, contado a partir del perfeccionamiento del mismo y registro presupuestal.</v>
      </c>
      <c r="AD140" s="751">
        <f>+IFERROR(VLOOKUP($A140,'[4]SEGUIMIENTO CONTRATOS 2018'!$A:$AJ,25,0)," ")</f>
        <v>43111</v>
      </c>
      <c r="AE140" s="751">
        <f>+IFERROR(VLOOKUP($A140,'[4]SEGUIMIENTO CONTRATOS 2018'!$A:$AJ,26,0)," ")</f>
        <v>43261</v>
      </c>
      <c r="AF140" s="698" t="str">
        <f>+IFERROR(VLOOKUP($A140,'[4]SEGUIMIENTO CONTRATOS 2018'!$A:$AJ,30,0)," ")</f>
        <v xml:space="preserve">GUILLERMO MARTINEZ DAZA </v>
      </c>
      <c r="AG140" s="698" t="str">
        <f>+IFERROR(VLOOKUP($A140,'[4]SEGUIMIENTO CONTRATOS 2018'!$A:$AJ,31,0)," ")</f>
        <v>OFICINA ASESORA DE PLANEACION</v>
      </c>
    </row>
    <row r="141" spans="1:33" ht="117" x14ac:dyDescent="0.25">
      <c r="A141" s="690">
        <f t="shared" si="3"/>
        <v>116</v>
      </c>
      <c r="B141" s="691" t="s">
        <v>235</v>
      </c>
      <c r="C141" s="692">
        <v>80101706</v>
      </c>
      <c r="D141" s="693" t="s">
        <v>543</v>
      </c>
      <c r="E141" s="691" t="s">
        <v>48</v>
      </c>
      <c r="F141" s="691">
        <v>1</v>
      </c>
      <c r="G141" s="694" t="s">
        <v>73</v>
      </c>
      <c r="H141" s="695">
        <v>5</v>
      </c>
      <c r="I141" s="691" t="s">
        <v>61</v>
      </c>
      <c r="J141" s="691" t="s">
        <v>66</v>
      </c>
      <c r="K141" s="691" t="s">
        <v>475</v>
      </c>
      <c r="L141" s="696">
        <v>25040000</v>
      </c>
      <c r="M141" s="697">
        <v>25040000</v>
      </c>
      <c r="N141" s="691" t="s">
        <v>51</v>
      </c>
      <c r="O141" s="691" t="s">
        <v>36</v>
      </c>
      <c r="P141" s="691" t="s">
        <v>501</v>
      </c>
      <c r="Q141" s="80"/>
      <c r="R141" s="698" t="str">
        <f>+IFERROR(VLOOKUP($A141,'[4]SEGUIMIENTO CONTRATOS 2018'!$A:$AJ,2,0)," ")</f>
        <v>048-2018</v>
      </c>
      <c r="S141" s="698" t="str">
        <f>+IFERROR(VLOOKUP($A141,'[4]SEGUIMIENTO CONTRATOS 2018'!$A:$AJ,3,0)," ")</f>
        <v>ALEXANDER HERNANDEZ ZORRO</v>
      </c>
      <c r="T141" s="751">
        <f>+IFERROR(VLOOKUP($A141,'[4]SEGUIMIENTO CONTRATOS 2018'!$A:$AJ,8,0)," ")</f>
        <v>43109</v>
      </c>
      <c r="U141" s="698" t="str">
        <f>+IFERROR(VLOOKUP($A141,'[4]SEGUIMIENTO CONTRATOS 2018'!$A:$AJ,9,0)," ")</f>
        <v>Prestar servicios profesionales en la Oficina Asesora de Planeación de Función Pública para apoyar la articulación del Sistema Integrado de Gestión de la Entidad con el Modelo Integrado de Planeación y Gestión (MIPG).</v>
      </c>
      <c r="V141" s="698" t="str">
        <f>+IFERROR(VLOOKUP($A141,'[4]SEGUIMIENTO CONTRATOS 2018'!$A:$AJ,11,0)," ")</f>
        <v>PRESTACION DE SERVICIOS PROFESIONALES</v>
      </c>
      <c r="W141" s="752">
        <f>+IFERROR(VLOOKUP($A141,'[4]SEGUIMIENTO CONTRATOS 2018'!$A:$AJ,13,0),0)</f>
        <v>25040000</v>
      </c>
      <c r="X141" s="698">
        <f>+IFERROR(VLOOKUP($A141,'[4]SEGUIMIENTO CONTRATOS 2018'!$A:$AJ,14,0),0)</f>
        <v>0</v>
      </c>
      <c r="Y141" s="752">
        <f>+IFERROR(VLOOKUP($A141,'[4]SEGUIMIENTO CONTRATOS 2018'!$A:$AJ,15,0),0)</f>
        <v>25040000</v>
      </c>
      <c r="Z141" s="752">
        <f>+IFERROR(VLOOKUP($A141,'[4]SEGUIMIENTO CONTRATOS 2018'!$A:$AJ,15,0),0)</f>
        <v>25040000</v>
      </c>
      <c r="AA141" s="698" t="str">
        <f>+IFERROR(VLOOKUP($A141,'[4]SEGUIMIENTO CONTRATOS 2018'!$A:$AJ,16,0)," ")</f>
        <v>Cinco (5) mensualidades vencidas, cada una por valor de CINCO MILLONES OCHO MIL PESOS ($5.008.000) M/CTE.</v>
      </c>
      <c r="AB141" s="698" t="str">
        <f>+IFERROR(VLOOKUP($A141,'[4]SEGUIMIENTO CONTRATOS 2018'!$A:$AL,38,0)," ")</f>
        <v xml:space="preserve">7418 </v>
      </c>
      <c r="AC141" s="698" t="str">
        <f>+IFERROR(VLOOKUP($A141,'[4]SEGUIMIENTO CONTRATOS 2018'!$A:$AJ,24,0)," ")</f>
        <v>Cinco (05) meses, contado a partir del perfeccionamiento del mismo y registro presupuestal.</v>
      </c>
      <c r="AD141" s="751">
        <f>+IFERROR(VLOOKUP($A141,'[4]SEGUIMIENTO CONTRATOS 2018'!$A:$AJ,25,0)," ")</f>
        <v>43118</v>
      </c>
      <c r="AE141" s="751">
        <f>+IFERROR(VLOOKUP($A141,'[4]SEGUIMIENTO CONTRATOS 2018'!$A:$AJ,26,0)," ")</f>
        <v>43268</v>
      </c>
      <c r="AF141" s="698" t="str">
        <f>+IFERROR(VLOOKUP($A141,'[4]SEGUIMIENTO CONTRATOS 2018'!$A:$AJ,30,0)," ")</f>
        <v xml:space="preserve">OLGA LUCÍA ARANGO  </v>
      </c>
      <c r="AG141" s="698" t="str">
        <f>+IFERROR(VLOOKUP($A141,'[4]SEGUIMIENTO CONTRATOS 2018'!$A:$AJ,31,0)," ")</f>
        <v>OFICINA ASESORA DE PLANEACION</v>
      </c>
    </row>
    <row r="142" spans="1:33" ht="97.5" x14ac:dyDescent="0.25">
      <c r="A142" s="690">
        <f t="shared" si="3"/>
        <v>117</v>
      </c>
      <c r="B142" s="691" t="s">
        <v>265</v>
      </c>
      <c r="C142" s="692">
        <v>80101706</v>
      </c>
      <c r="D142" s="693" t="s">
        <v>503</v>
      </c>
      <c r="E142" s="691" t="s">
        <v>48</v>
      </c>
      <c r="F142" s="691">
        <v>1</v>
      </c>
      <c r="G142" s="694" t="s">
        <v>73</v>
      </c>
      <c r="H142" s="695">
        <v>3</v>
      </c>
      <c r="I142" s="691" t="s">
        <v>61</v>
      </c>
      <c r="J142" s="691" t="s">
        <v>66</v>
      </c>
      <c r="K142" s="691" t="s">
        <v>608</v>
      </c>
      <c r="L142" s="696">
        <v>21498000</v>
      </c>
      <c r="M142" s="697">
        <v>21498000</v>
      </c>
      <c r="N142" s="691" t="s">
        <v>51</v>
      </c>
      <c r="O142" s="691" t="s">
        <v>36</v>
      </c>
      <c r="P142" s="691" t="s">
        <v>504</v>
      </c>
      <c r="Q142" s="80"/>
      <c r="R142" s="698" t="str">
        <f>+IFERROR(VLOOKUP($A142,'[4]SEGUIMIENTO CONTRATOS 2018'!$A:$AJ,2,0)," ")</f>
        <v>103-2018</v>
      </c>
      <c r="S142" s="698" t="str">
        <f>+IFERROR(VLOOKUP($A142,'[4]SEGUIMIENTO CONTRATOS 2018'!$A:$AJ,3,0)," ")</f>
        <v>ROCIO LONDOÑO BOTERO</v>
      </c>
      <c r="T142" s="751">
        <f>+IFERROR(VLOOKUP($A142,'[4]SEGUIMIENTO CONTRATOS 2018'!$A:$AJ,8,0)," ")</f>
        <v>43117</v>
      </c>
      <c r="U142" s="698" t="str">
        <f>+IFERROR(VLOOKUP($A142,'[4]SEGUIMIENTO CONTRATOS 2018'!$A:$AJ,9,0)," ")</f>
        <v>Prestar servicios profesionales en la Dirección General de Función Pública, para articular y revisar la información necesaria para la elaboración de un informe sobre la evolución del empleo público en Colombia.</v>
      </c>
      <c r="V142" s="698" t="str">
        <f>+IFERROR(VLOOKUP($A142,'[4]SEGUIMIENTO CONTRATOS 2018'!$A:$AJ,11,0)," ")</f>
        <v>PRESTACION DE SERVICIOS PROFESIONALES</v>
      </c>
      <c r="W142" s="752">
        <f>+IFERROR(VLOOKUP($A142,'[4]SEGUIMIENTO CONTRATOS 2018'!$A:$AJ,13,0),0)</f>
        <v>21498000</v>
      </c>
      <c r="X142" s="698">
        <f>+IFERROR(VLOOKUP($A142,'[4]SEGUIMIENTO CONTRATOS 2018'!$A:$AJ,14,0),0)</f>
        <v>0</v>
      </c>
      <c r="Y142" s="752">
        <f>+IFERROR(VLOOKUP($A142,'[4]SEGUIMIENTO CONTRATOS 2018'!$A:$AJ,15,0),0)</f>
        <v>21498000</v>
      </c>
      <c r="Z142" s="752">
        <f>+IFERROR(VLOOKUP($A142,'[4]SEGUIMIENTO CONTRATOS 2018'!$A:$AJ,15,0),0)</f>
        <v>21498000</v>
      </c>
      <c r="AA142" s="698" t="str">
        <f>+IFERROR(VLOOKUP($A142,'[4]SEGUIMIENTO CONTRATOS 2018'!$A:$AJ,16,0)," ")</f>
        <v>Tres (3) mensualidades vencidas, cada una por valor de SIETE MILLONES CIENTO SESENTA Y SEIS MIL PESOS ($7’166.000) M/CTE.</v>
      </c>
      <c r="AB142" s="698" t="str">
        <f>+IFERROR(VLOOKUP($A142,'[4]SEGUIMIENTO CONTRATOS 2018'!$A:$AL,38,0)," ")</f>
        <v xml:space="preserve">9018 </v>
      </c>
      <c r="AC142" s="698" t="str">
        <f>+IFERROR(VLOOKUP($A142,'[4]SEGUIMIENTO CONTRATOS 2018'!$A:$AJ,24,0)," ")</f>
        <v>Tres (3) meses, contado a partir del perfeccionamiento del mismo y registro presupuestal.</v>
      </c>
      <c r="AD142" s="751">
        <f>+IFERROR(VLOOKUP($A142,'[4]SEGUIMIENTO CONTRATOS 2018'!$A:$AJ,25,0)," ")</f>
        <v>43122</v>
      </c>
      <c r="AE142" s="751">
        <f>+IFERROR(VLOOKUP($A142,'[4]SEGUIMIENTO CONTRATOS 2018'!$A:$AJ,26,0)," ")</f>
        <v>43211</v>
      </c>
      <c r="AF142" s="698" t="str">
        <f>+IFERROR(VLOOKUP($A142,'[4]SEGUIMIENTO CONTRATOS 2018'!$A:$AJ,30,0)," ")</f>
        <v xml:space="preserve">DIEGO ALEJANDRO BELTRAN OGILVIE-BROWNE </v>
      </c>
      <c r="AG142" s="698" t="str">
        <f>+IFERROR(VLOOKUP($A142,'[4]SEGUIMIENTO CONTRATOS 2018'!$A:$AJ,31,0)," ")</f>
        <v>DIRECCION DE GESTION DEL CONOCIMIENTO</v>
      </c>
    </row>
    <row r="143" spans="1:33" ht="117" x14ac:dyDescent="0.25">
      <c r="A143" s="690">
        <f t="shared" si="3"/>
        <v>118</v>
      </c>
      <c r="B143" s="691" t="s">
        <v>265</v>
      </c>
      <c r="C143" s="692">
        <v>80101706</v>
      </c>
      <c r="D143" s="693" t="s">
        <v>503</v>
      </c>
      <c r="E143" s="691" t="s">
        <v>48</v>
      </c>
      <c r="F143" s="691">
        <v>1</v>
      </c>
      <c r="G143" s="694" t="s">
        <v>73</v>
      </c>
      <c r="H143" s="695">
        <v>3</v>
      </c>
      <c r="I143" s="691" t="s">
        <v>61</v>
      </c>
      <c r="J143" s="691" t="s">
        <v>66</v>
      </c>
      <c r="K143" s="691" t="s">
        <v>608</v>
      </c>
      <c r="L143" s="696">
        <v>15693000</v>
      </c>
      <c r="M143" s="697">
        <v>15693000</v>
      </c>
      <c r="N143" s="691" t="s">
        <v>51</v>
      </c>
      <c r="O143" s="691" t="s">
        <v>36</v>
      </c>
      <c r="P143" s="691" t="s">
        <v>504</v>
      </c>
      <c r="Q143" s="80"/>
      <c r="R143" s="698" t="str">
        <f>+IFERROR(VLOOKUP($A143,'[4]SEGUIMIENTO CONTRATOS 2018'!$A:$AJ,2,0)," ")</f>
        <v>104-2018</v>
      </c>
      <c r="S143" s="698" t="str">
        <f>+IFERROR(VLOOKUP($A143,'[4]SEGUIMIENTO CONTRATOS 2018'!$A:$AJ,3,0)," ")</f>
        <v>OMAR LORENZO SALINAS VILLAMIZAR</v>
      </c>
      <c r="T143" s="751">
        <f>+IFERROR(VLOOKUP($A143,'[4]SEGUIMIENTO CONTRATOS 2018'!$A:$AJ,8,0)," ")</f>
        <v>43117</v>
      </c>
      <c r="U143" s="698" t="str">
        <f>+IFERROR(VLOOKUP($A143,'[4]SEGUIMIENTO CONTRATOS 2018'!$A:$AJ,9,0)," ")</f>
        <v>Prestar servicios profesionales en la Dirección General de Función Pública, para apoyar la revisión de la información necesaria para la elaboración de un informe sobre la evolución del empleo público en Colombia.</v>
      </c>
      <c r="V143" s="698" t="str">
        <f>+IFERROR(VLOOKUP($A143,'[4]SEGUIMIENTO CONTRATOS 2018'!$A:$AJ,11,0)," ")</f>
        <v>PRESTACION DE SERVICIOS PROFESIONALES</v>
      </c>
      <c r="W143" s="752">
        <f>+IFERROR(VLOOKUP($A143,'[4]SEGUIMIENTO CONTRATOS 2018'!$A:$AJ,13,0),0)</f>
        <v>15693000</v>
      </c>
      <c r="X143" s="698">
        <f>+IFERROR(VLOOKUP($A143,'[4]SEGUIMIENTO CONTRATOS 2018'!$A:$AJ,14,0),0)</f>
        <v>0</v>
      </c>
      <c r="Y143" s="752">
        <f>+IFERROR(VLOOKUP($A143,'[4]SEGUIMIENTO CONTRATOS 2018'!$A:$AJ,15,0),0)</f>
        <v>15693000</v>
      </c>
      <c r="Z143" s="752">
        <f>+IFERROR(VLOOKUP($A143,'[4]SEGUIMIENTO CONTRATOS 2018'!$A:$AJ,15,0),0)</f>
        <v>15693000</v>
      </c>
      <c r="AA143" s="698" t="str">
        <f>+IFERROR(VLOOKUP($A143,'[4]SEGUIMIENTO CONTRATOS 2018'!$A:$AJ,16,0)," ")</f>
        <v>Tres (3) mensualidades vencidas, cada una por valor de CINCO MILLONES DOSCIENTOS TREINTA Y UN MIL PESOS ($5’231.000) M/CTE.</v>
      </c>
      <c r="AB143" s="698" t="str">
        <f>+IFERROR(VLOOKUP($A143,'[4]SEGUIMIENTO CONTRATOS 2018'!$A:$AL,38,0)," ")</f>
        <v>16918</v>
      </c>
      <c r="AC143" s="698" t="str">
        <f>+IFERROR(VLOOKUP($A143,'[4]SEGUIMIENTO CONTRATOS 2018'!$A:$AJ,24,0)," ")</f>
        <v>Tres (3) meses, contado a partir del perfeccionamiento del mismo y registro presupuestal.</v>
      </c>
      <c r="AD143" s="751">
        <f>+IFERROR(VLOOKUP($A143,'[4]SEGUIMIENTO CONTRATOS 2018'!$A:$AJ,25,0)," ")</f>
        <v>43122</v>
      </c>
      <c r="AE143" s="751">
        <f>+IFERROR(VLOOKUP($A143,'[4]SEGUIMIENTO CONTRATOS 2018'!$A:$AJ,26,0)," ")</f>
        <v>43211</v>
      </c>
      <c r="AF143" s="698" t="str">
        <f>+IFERROR(VLOOKUP($A143,'[4]SEGUIMIENTO CONTRATOS 2018'!$A:$AJ,30,0)," ")</f>
        <v xml:space="preserve">DIEGO ALEJANDRO BELTRAN OGILVIE-BROWNE </v>
      </c>
      <c r="AG143" s="698" t="str">
        <f>+IFERROR(VLOOKUP($A143,'[4]SEGUIMIENTO CONTRATOS 2018'!$A:$AJ,31,0)," ")</f>
        <v>DIRECCION DE GESTION DEL CONOCIMIENTO</v>
      </c>
    </row>
    <row r="144" spans="1:33" ht="156" x14ac:dyDescent="0.25">
      <c r="A144" s="690">
        <f t="shared" si="3"/>
        <v>119</v>
      </c>
      <c r="B144" s="691" t="s">
        <v>265</v>
      </c>
      <c r="C144" s="692">
        <v>80101706</v>
      </c>
      <c r="D144" s="693" t="s">
        <v>503</v>
      </c>
      <c r="E144" s="691" t="s">
        <v>48</v>
      </c>
      <c r="F144" s="691">
        <v>1</v>
      </c>
      <c r="G144" s="694" t="s">
        <v>73</v>
      </c>
      <c r="H144" s="695">
        <v>3</v>
      </c>
      <c r="I144" s="691" t="s">
        <v>61</v>
      </c>
      <c r="J144" s="691" t="s">
        <v>66</v>
      </c>
      <c r="K144" s="691" t="s">
        <v>608</v>
      </c>
      <c r="L144" s="696">
        <v>19182000</v>
      </c>
      <c r="M144" s="697">
        <v>19182000</v>
      </c>
      <c r="N144" s="691" t="s">
        <v>51</v>
      </c>
      <c r="O144" s="691" t="s">
        <v>36</v>
      </c>
      <c r="P144" s="691" t="s">
        <v>504</v>
      </c>
      <c r="Q144" s="80"/>
      <c r="R144" s="698" t="str">
        <f>+IFERROR(VLOOKUP($A144,'[4]SEGUIMIENTO CONTRATOS 2018'!$A:$AJ,2,0)," ")</f>
        <v>105-2018</v>
      </c>
      <c r="S144" s="698" t="str">
        <f>+IFERROR(VLOOKUP($A144,'[4]SEGUIMIENTO CONTRATOS 2018'!$A:$AJ,3,0)," ")</f>
        <v>OSCAR DAVID SAIDIZA PEÑUELA</v>
      </c>
      <c r="T144" s="751">
        <f>+IFERROR(VLOOKUP($A144,'[4]SEGUIMIENTO CONTRATOS 2018'!$A:$AJ,8,0)," ")</f>
        <v>43117</v>
      </c>
      <c r="U144" s="698" t="str">
        <f>+IFERROR(VLOOKUP($A144,'[4]SEGUIMIENTO CONTRATOS 2018'!$A:$AJ,9,0)," ")</f>
        <v>Prestar servicios profesionales en la Dirección General de Función Pública, para apoyar la elaboración de instrumentos de recolección, asi como la recopilación, revisión y organización de la información, que conduzca a la elaboración de un informe sobre la evolución del empleo público en colombia.</v>
      </c>
      <c r="V144" s="698" t="str">
        <f>+IFERROR(VLOOKUP($A144,'[4]SEGUIMIENTO CONTRATOS 2018'!$A:$AJ,11,0)," ")</f>
        <v>PRESTACION DE SERVICIOS PROFESIONALES</v>
      </c>
      <c r="W144" s="752">
        <f>+IFERROR(VLOOKUP($A144,'[4]SEGUIMIENTO CONTRATOS 2018'!$A:$AJ,13,0),0)</f>
        <v>19182000</v>
      </c>
      <c r="X144" s="698">
        <f>+IFERROR(VLOOKUP($A144,'[4]SEGUIMIENTO CONTRATOS 2018'!$A:$AJ,14,0),0)</f>
        <v>0</v>
      </c>
      <c r="Y144" s="752">
        <f>+IFERROR(VLOOKUP($A144,'[4]SEGUIMIENTO CONTRATOS 2018'!$A:$AJ,15,0),0)</f>
        <v>19182000</v>
      </c>
      <c r="Z144" s="752">
        <f>+IFERROR(VLOOKUP($A144,'[4]SEGUIMIENTO CONTRATOS 2018'!$A:$AJ,15,0),0)</f>
        <v>19182000</v>
      </c>
      <c r="AA144" s="698" t="str">
        <f>+IFERROR(VLOOKUP($A144,'[4]SEGUIMIENTO CONTRATOS 2018'!$A:$AJ,16,0)," ")</f>
        <v>Tres (3) mensualidades vencidas, cada una por valor de SEIS MILLONES TRESCIENTOS NOVENTA Y CUATRO MIL PESOS ($6’394.000) M/CTE.</v>
      </c>
      <c r="AB144" s="698" t="str">
        <f>+IFERROR(VLOOKUP($A144,'[4]SEGUIMIENTO CONTRATOS 2018'!$A:$AL,38,0)," ")</f>
        <v xml:space="preserve">9118 </v>
      </c>
      <c r="AC144" s="698" t="str">
        <f>+IFERROR(VLOOKUP($A144,'[4]SEGUIMIENTO CONTRATOS 2018'!$A:$AJ,24,0)," ")</f>
        <v>Tres (3) meses, contado a partir del perfeccionamiento del mismo y registro presupuestal.</v>
      </c>
      <c r="AD144" s="751">
        <f>+IFERROR(VLOOKUP($A144,'[4]SEGUIMIENTO CONTRATOS 2018'!$A:$AJ,25,0)," ")</f>
        <v>43122</v>
      </c>
      <c r="AE144" s="751">
        <f>+IFERROR(VLOOKUP($A144,'[4]SEGUIMIENTO CONTRATOS 2018'!$A:$AJ,26,0)," ")</f>
        <v>43211</v>
      </c>
      <c r="AF144" s="698" t="str">
        <f>+IFERROR(VLOOKUP($A144,'[4]SEGUIMIENTO CONTRATOS 2018'!$A:$AJ,30,0)," ")</f>
        <v xml:space="preserve">DIEGO ALEJANDRO BELTRAN OGILVIE-BROWNE </v>
      </c>
      <c r="AG144" s="698" t="str">
        <f>+IFERROR(VLOOKUP($A144,'[4]SEGUIMIENTO CONTRATOS 2018'!$A:$AJ,31,0)," ")</f>
        <v>DIRECCION DE GESTION DEL CONOCIMIENTO</v>
      </c>
    </row>
    <row r="145" spans="1:33" ht="94.15" customHeight="1" x14ac:dyDescent="0.25">
      <c r="A145" s="690">
        <f t="shared" si="3"/>
        <v>120</v>
      </c>
      <c r="B145" s="691" t="s">
        <v>265</v>
      </c>
      <c r="C145" s="692">
        <v>80101706</v>
      </c>
      <c r="D145" s="693" t="s">
        <v>646</v>
      </c>
      <c r="E145" s="691" t="s">
        <v>48</v>
      </c>
      <c r="F145" s="691">
        <v>1</v>
      </c>
      <c r="G145" s="694" t="s">
        <v>73</v>
      </c>
      <c r="H145" s="695">
        <v>3</v>
      </c>
      <c r="I145" s="691" t="s">
        <v>61</v>
      </c>
      <c r="J145" s="691" t="s">
        <v>66</v>
      </c>
      <c r="K145" s="691" t="s">
        <v>608</v>
      </c>
      <c r="L145" s="696">
        <v>4050000</v>
      </c>
      <c r="M145" s="697">
        <f t="shared" ref="M145:M208" si="5">+L145</f>
        <v>4050000</v>
      </c>
      <c r="N145" s="691" t="s">
        <v>51</v>
      </c>
      <c r="O145" s="691" t="s">
        <v>36</v>
      </c>
      <c r="P145" s="691" t="s">
        <v>504</v>
      </c>
      <c r="Q145" s="80"/>
      <c r="R145" s="698" t="str">
        <f>+IFERROR(VLOOKUP($A145,'[4]SEGUIMIENTO CONTRATOS 2018'!$A:$AJ,2,0)," ")</f>
        <v>100-2018</v>
      </c>
      <c r="S145" s="698" t="str">
        <f>+IFERROR(VLOOKUP($A145,'[4]SEGUIMIENTO CONTRATOS 2018'!$A:$AJ,3,0)," ")</f>
        <v>MARIANA DE JESUS PEREA URREA</v>
      </c>
      <c r="T145" s="751">
        <f>+IFERROR(VLOOKUP($A145,'[4]SEGUIMIENTO CONTRATOS 2018'!$A:$AJ,8,0)," ")</f>
        <v>43117</v>
      </c>
      <c r="U145" s="698" t="str">
        <f>+IFERROR(VLOOKUP($A145,'[4]SEGUIMIENTO CONTRATOS 2018'!$A:$AJ,9,0)," ")</f>
        <v>Prestar servicios de apoyo a la Gestión en la Dirección General de Función Pública, para la recopilación, organización y control de la información, que contribuya a la elaboración de un informe sobre la evolución del empleo público en Colombia.</v>
      </c>
      <c r="V145" s="698" t="str">
        <f>+IFERROR(VLOOKUP($A145,'[4]SEGUIMIENTO CONTRATOS 2018'!$A:$AJ,11,0)," ")</f>
        <v>PRESTACION DE SERVICIOS DE APOYO A LA GESTION</v>
      </c>
      <c r="W145" s="752">
        <f>+IFERROR(VLOOKUP($A145,'[4]SEGUIMIENTO CONTRATOS 2018'!$A:$AJ,13,0),0)</f>
        <v>4050000</v>
      </c>
      <c r="X145" s="698">
        <f>+IFERROR(VLOOKUP($A145,'[4]SEGUIMIENTO CONTRATOS 2018'!$A:$AJ,14,0),0)</f>
        <v>0</v>
      </c>
      <c r="Y145" s="752">
        <f>+IFERROR(VLOOKUP($A145,'[4]SEGUIMIENTO CONTRATOS 2018'!$A:$AJ,15,0),0)</f>
        <v>4050000</v>
      </c>
      <c r="Z145" s="752">
        <f>+IFERROR(VLOOKUP($A145,'[4]SEGUIMIENTO CONTRATOS 2018'!$A:$AJ,15,0),0)</f>
        <v>4050000</v>
      </c>
      <c r="AA145" s="698" t="str">
        <f>+IFERROR(VLOOKUP($A145,'[4]SEGUIMIENTO CONTRATOS 2018'!$A:$AJ,16,0)," ")</f>
        <v>Tres (3) mensualidades vencidas, cada por un valor de UN MILLON TRESCIENTOS CINCUENTA MIL PESOS ($1’350.000) M/CTE</v>
      </c>
      <c r="AB145" s="698" t="str">
        <f>+IFERROR(VLOOKUP($A145,'[4]SEGUIMIENTO CONTRATOS 2018'!$A:$AL,38,0)," ")</f>
        <v>17118</v>
      </c>
      <c r="AC145" s="698" t="str">
        <f>+IFERROR(VLOOKUP($A145,'[4]SEGUIMIENTO CONTRATOS 2018'!$A:$AJ,24,0)," ")</f>
        <v>Tres (3) meses, contado a partir del perfeccionamiento del mismo y registro presupuestal.</v>
      </c>
      <c r="AD145" s="751">
        <f>+IFERROR(VLOOKUP($A145,'[4]SEGUIMIENTO CONTRATOS 2018'!$A:$AJ,25,0)," ")</f>
        <v>43122</v>
      </c>
      <c r="AE145" s="751">
        <f>+IFERROR(VLOOKUP($A145,'[4]SEGUIMIENTO CONTRATOS 2018'!$A:$AJ,26,0)," ")</f>
        <v>43211</v>
      </c>
      <c r="AF145" s="698" t="str">
        <f>+IFERROR(VLOOKUP($A145,'[4]SEGUIMIENTO CONTRATOS 2018'!$A:$AJ,30,0)," ")</f>
        <v xml:space="preserve">DIEGO ALEJANDRO BELTRAN OGILVIE-BROWNE </v>
      </c>
      <c r="AG145" s="698" t="str">
        <f>+IFERROR(VLOOKUP($A145,'[4]SEGUIMIENTO CONTRATOS 2018'!$A:$AJ,31,0)," ")</f>
        <v>DIRECCION DE GESTION DEL CONOCIMIENTO</v>
      </c>
    </row>
    <row r="146" spans="1:33" ht="90.6" customHeight="1" x14ac:dyDescent="0.25">
      <c r="A146" s="690">
        <f t="shared" si="3"/>
        <v>121</v>
      </c>
      <c r="B146" s="691" t="s">
        <v>265</v>
      </c>
      <c r="C146" s="692">
        <v>80101706</v>
      </c>
      <c r="D146" s="693" t="s">
        <v>503</v>
      </c>
      <c r="E146" s="691" t="s">
        <v>48</v>
      </c>
      <c r="F146" s="691">
        <v>1</v>
      </c>
      <c r="G146" s="694" t="s">
        <v>73</v>
      </c>
      <c r="H146" s="695">
        <v>5</v>
      </c>
      <c r="I146" s="691" t="s">
        <v>61</v>
      </c>
      <c r="J146" s="691" t="s">
        <v>66</v>
      </c>
      <c r="K146" s="691" t="s">
        <v>608</v>
      </c>
      <c r="L146" s="696">
        <v>10000000</v>
      </c>
      <c r="M146" s="697">
        <f t="shared" si="5"/>
        <v>10000000</v>
      </c>
      <c r="N146" s="691" t="s">
        <v>51</v>
      </c>
      <c r="O146" s="691" t="s">
        <v>36</v>
      </c>
      <c r="P146" s="691" t="s">
        <v>504</v>
      </c>
      <c r="Q146" s="80"/>
      <c r="R146" s="698" t="str">
        <f>+IFERROR(VLOOKUP($A146,'[4]SEGUIMIENTO CONTRATOS 2018'!$A:$AJ,2,0)," ")</f>
        <v>076-2018</v>
      </c>
      <c r="S146" s="698" t="str">
        <f>+IFERROR(VLOOKUP($A146,'[4]SEGUIMIENTO CONTRATOS 2018'!$A:$AJ,3,0)," ")</f>
        <v>JUAN PABLO CAICEDO MONTAÑA</v>
      </c>
      <c r="T146" s="751">
        <f>+IFERROR(VLOOKUP($A146,'[4]SEGUIMIENTO CONTRATOS 2018'!$A:$AJ,8,0)," ")</f>
        <v>43115</v>
      </c>
      <c r="U146" s="698" t="str">
        <f>+IFERROR(VLOOKUP($A146,'[4]SEGUIMIENTO CONTRATOS 2018'!$A:$AJ,9,0)," ")</f>
        <v xml:space="preserve">Prestar servicios profesionales en la Dirección General de Función Pública, para apoyar la elaboración y revisión de documentos institucionales relacionados con las metas, objetivos, planes, programas y proyectos y resultados de la Entidad. </v>
      </c>
      <c r="V146" s="698" t="str">
        <f>+IFERROR(VLOOKUP($A146,'[4]SEGUIMIENTO CONTRATOS 2018'!$A:$AJ,11,0)," ")</f>
        <v>PRESTACION DE SERVICIOS PROFESIONALES</v>
      </c>
      <c r="W146" s="752">
        <f>+IFERROR(VLOOKUP($A146,'[4]SEGUIMIENTO CONTRATOS 2018'!$A:$AJ,13,0),0)</f>
        <v>10000000</v>
      </c>
      <c r="X146" s="698">
        <f>+IFERROR(VLOOKUP($A146,'[4]SEGUIMIENTO CONTRATOS 2018'!$A:$AJ,14,0),0)</f>
        <v>0</v>
      </c>
      <c r="Y146" s="752">
        <f>+IFERROR(VLOOKUP($A146,'[4]SEGUIMIENTO CONTRATOS 2018'!$A:$AJ,15,0),0)</f>
        <v>10000000</v>
      </c>
      <c r="Z146" s="752">
        <f>+IFERROR(VLOOKUP($A146,'[4]SEGUIMIENTO CONTRATOS 2018'!$A:$AJ,15,0),0)</f>
        <v>10000000</v>
      </c>
      <c r="AA146" s="698" t="str">
        <f>+IFERROR(VLOOKUP($A146,'[4]SEGUIMIENTO CONTRATOS 2018'!$A:$AJ,16,0)," ")</f>
        <v>Cinco (5) mensualidades vencidas, cada una por valor de DOS MILLONES DE PESOS ($2’000.000) M/CTE.</v>
      </c>
      <c r="AB146" s="698" t="str">
        <f>+IFERROR(VLOOKUP($A146,'[4]SEGUIMIENTO CONTRATOS 2018'!$A:$AL,38,0)," ")</f>
        <v xml:space="preserve">9318 </v>
      </c>
      <c r="AC146" s="698" t="str">
        <f>+IFERROR(VLOOKUP($A146,'[4]SEGUIMIENTO CONTRATOS 2018'!$A:$AJ,24,0)," ")</f>
        <v>Cinco (05) meses, contado a partir del perfeccionamiento del mismo y registro presupuestal.</v>
      </c>
      <c r="AD146" s="751">
        <f>+IFERROR(VLOOKUP($A146,'[4]SEGUIMIENTO CONTRATOS 2018'!$A:$AJ,25,0)," ")</f>
        <v>43116</v>
      </c>
      <c r="AE146" s="751">
        <f>+IFERROR(VLOOKUP($A146,'[4]SEGUIMIENTO CONTRATOS 2018'!$A:$AJ,26,0)," ")</f>
        <v>43266</v>
      </c>
      <c r="AF146" s="698" t="str">
        <f>+IFERROR(VLOOKUP($A146,'[4]SEGUIMIENTO CONTRATOS 2018'!$A:$AJ,30,0)," ")</f>
        <v xml:space="preserve">ANDRÉS FELIPE SEGURA ARNAIZ </v>
      </c>
      <c r="AG146" s="698" t="str">
        <f>+IFERROR(VLOOKUP($A146,'[4]SEGUIMIENTO CONTRATOS 2018'!$A:$AJ,31,0)," ")</f>
        <v>DIRECCION GENERAL</v>
      </c>
    </row>
    <row r="147" spans="1:33" ht="98.45" customHeight="1" x14ac:dyDescent="0.25">
      <c r="A147" s="690">
        <f t="shared" si="3"/>
        <v>122</v>
      </c>
      <c r="B147" s="691" t="s">
        <v>505</v>
      </c>
      <c r="C147" s="692">
        <v>80101706</v>
      </c>
      <c r="D147" s="693" t="s">
        <v>506</v>
      </c>
      <c r="E147" s="691" t="s">
        <v>48</v>
      </c>
      <c r="F147" s="691">
        <v>1</v>
      </c>
      <c r="G147" s="694" t="s">
        <v>73</v>
      </c>
      <c r="H147" s="695">
        <v>8</v>
      </c>
      <c r="I147" s="691" t="s">
        <v>61</v>
      </c>
      <c r="J147" s="691" t="s">
        <v>66</v>
      </c>
      <c r="K147" s="691" t="s">
        <v>608</v>
      </c>
      <c r="L147" s="696">
        <v>31160000</v>
      </c>
      <c r="M147" s="697">
        <f t="shared" si="5"/>
        <v>31160000</v>
      </c>
      <c r="N147" s="691" t="s">
        <v>51</v>
      </c>
      <c r="O147" s="691" t="s">
        <v>36</v>
      </c>
      <c r="P147" s="691" t="s">
        <v>504</v>
      </c>
      <c r="Q147" s="80"/>
      <c r="R147" s="698" t="str">
        <f>+IFERROR(VLOOKUP($A147,'[4]SEGUIMIENTO CONTRATOS 2018'!$A:$AJ,2,0)," ")</f>
        <v>133-2018</v>
      </c>
      <c r="S147" s="698" t="str">
        <f>+IFERROR(VLOOKUP($A147,'[4]SEGUIMIENTO CONTRATOS 2018'!$A:$AJ,3,0)," ")</f>
        <v>LORENA CATALINA RODRIGUEZ MORENO</v>
      </c>
      <c r="T147" s="751">
        <f>+IFERROR(VLOOKUP($A147,'[4]SEGUIMIENTO CONTRATOS 2018'!$A:$AJ,8,0)," ")</f>
        <v>43124</v>
      </c>
      <c r="U147" s="698" t="str">
        <f>+IFERROR(VLOOKUP($A147,'[4]SEGUIMIENTO CONTRATOS 2018'!$A:$AJ,9,0)," ")</f>
        <v>Prestar servicios profesionales en la Dirección General de Función Pública, para apoyar la elaboración, implementación, revisión de resultados y divulgación de indicadores y otras herramientas de seguimiento, para la Estrategia de Cambio Cultural.</v>
      </c>
      <c r="V147" s="698" t="str">
        <f>+IFERROR(VLOOKUP($A147,'[4]SEGUIMIENTO CONTRATOS 2018'!$A:$AJ,11,0)," ")</f>
        <v>PRESTACION DE SERVICIOS PROFESIONALES</v>
      </c>
      <c r="W147" s="752">
        <f>+IFERROR(VLOOKUP($A147,'[4]SEGUIMIENTO CONTRATOS 2018'!$A:$AJ,13,0),0)</f>
        <v>31160000</v>
      </c>
      <c r="X147" s="698">
        <f>+IFERROR(VLOOKUP($A147,'[4]SEGUIMIENTO CONTRATOS 2018'!$A:$AJ,14,0),0)</f>
        <v>0</v>
      </c>
      <c r="Y147" s="752">
        <f>+IFERROR(VLOOKUP($A147,'[4]SEGUIMIENTO CONTRATOS 2018'!$A:$AJ,15,0),0)</f>
        <v>31160000</v>
      </c>
      <c r="Z147" s="752">
        <f>+IFERROR(VLOOKUP($A147,'[4]SEGUIMIENTO CONTRATOS 2018'!$A:$AJ,15,0),0)</f>
        <v>31160000</v>
      </c>
      <c r="AA147" s="698" t="str">
        <f>+IFERROR(VLOOKUP($A147,'[4]SEGUIMIENTO CONTRATOS 2018'!$A:$AJ,16,0)," ")</f>
        <v>Ocho (8) mensualidades vencidas, cada una por valor de TRES MILLONES OCHOCIENTOS NOVENTA Y CINCO MIL PESOS ($3´895.000) M/CTE.</v>
      </c>
      <c r="AB147" s="698" t="str">
        <f>+IFERROR(VLOOKUP($A147,'[4]SEGUIMIENTO CONTRATOS 2018'!$A:$AL,38,0)," ")</f>
        <v xml:space="preserve">9418 </v>
      </c>
      <c r="AC147" s="698" t="str">
        <f>+IFERROR(VLOOKUP($A147,'[4]SEGUIMIENTO CONTRATOS 2018'!$A:$AJ,24,0)," ")</f>
        <v>Ocho (8) meses, contado a partir del perfeccionamiento del mismo y registro presupuestal.</v>
      </c>
      <c r="AD147" s="751">
        <f>+IFERROR(VLOOKUP($A147,'[4]SEGUIMIENTO CONTRATOS 2018'!$A:$AJ,25,0)," ")</f>
        <v>43124</v>
      </c>
      <c r="AE147" s="751">
        <f>+IFERROR(VLOOKUP($A147,'[4]SEGUIMIENTO CONTRATOS 2018'!$A:$AJ,26,0)," ")</f>
        <v>43366</v>
      </c>
      <c r="AF147" s="698" t="str">
        <f>+IFERROR(VLOOKUP($A147,'[4]SEGUIMIENTO CONTRATOS 2018'!$A:$AJ,30,0)," ")</f>
        <v xml:space="preserve">EDINSON GABRIEL MALAGÓN MAYORGA </v>
      </c>
      <c r="AG147" s="698" t="str">
        <f>+IFERROR(VLOOKUP($A147,'[4]SEGUIMIENTO CONTRATOS 2018'!$A:$AJ,31,0)," ")</f>
        <v>DIRECCION GENERAL</v>
      </c>
    </row>
    <row r="148" spans="1:33" ht="156" x14ac:dyDescent="0.25">
      <c r="A148" s="690">
        <f t="shared" si="3"/>
        <v>123</v>
      </c>
      <c r="B148" s="691" t="s">
        <v>266</v>
      </c>
      <c r="C148" s="692">
        <v>80101706</v>
      </c>
      <c r="D148" s="693" t="s">
        <v>528</v>
      </c>
      <c r="E148" s="691" t="s">
        <v>48</v>
      </c>
      <c r="F148" s="691">
        <v>1</v>
      </c>
      <c r="G148" s="694" t="s">
        <v>73</v>
      </c>
      <c r="H148" s="695" t="s">
        <v>662</v>
      </c>
      <c r="I148" s="691" t="s">
        <v>61</v>
      </c>
      <c r="J148" s="691" t="s">
        <v>66</v>
      </c>
      <c r="K148" s="691" t="s">
        <v>608</v>
      </c>
      <c r="L148" s="696">
        <v>29765000</v>
      </c>
      <c r="M148" s="697">
        <f t="shared" si="5"/>
        <v>29765000</v>
      </c>
      <c r="N148" s="691" t="s">
        <v>51</v>
      </c>
      <c r="O148" s="691" t="s">
        <v>36</v>
      </c>
      <c r="P148" s="691" t="s">
        <v>529</v>
      </c>
      <c r="Q148" s="80"/>
      <c r="R148" s="698" t="str">
        <f>+IFERROR(VLOOKUP($A148,'[4]SEGUIMIENTO CONTRATOS 2018'!$A:$AJ,2,0)," ")</f>
        <v>144-2018</v>
      </c>
      <c r="S148" s="698" t="str">
        <f>+IFERROR(VLOOKUP($A148,'[4]SEGUIMIENTO CONTRATOS 2018'!$A:$AJ,3,0)," ")</f>
        <v>TATIANA FORERO TORRES</v>
      </c>
      <c r="T148" s="751">
        <f>+IFERROR(VLOOKUP($A148,'[4]SEGUIMIENTO CONTRATOS 2018'!$A:$AJ,8,0)," ")</f>
        <v>43126</v>
      </c>
      <c r="U148" s="698" t="str">
        <f>+IFERROR(VLOOKUP($A148,'[4]SEGUIMIENTO CONTRATOS 2018'!$A:$AJ,9,0)," ")</f>
        <v>Prestar los servicios profesionales en la  Dirección de Gestión del Conocimiento de Función Pública, para apoyar el desarrollo del balance y prospectiva sobre la capacidad de cambio cultural en el sector público colombiano, asi como en la implementación de las acciones pedagógicas relacionadas que identifique en la Entidad.</v>
      </c>
      <c r="V148" s="698" t="str">
        <f>+IFERROR(VLOOKUP($A148,'[4]SEGUIMIENTO CONTRATOS 2018'!$A:$AJ,11,0)," ")</f>
        <v>PRESTACION DE SERVICIOS PROFESIONALES</v>
      </c>
      <c r="W148" s="752">
        <f>+IFERROR(VLOOKUP($A148,'[4]SEGUIMIENTO CONTRATOS 2018'!$A:$AJ,13,0),0)</f>
        <v>29765000</v>
      </c>
      <c r="X148" s="698">
        <f>+IFERROR(VLOOKUP($A148,'[4]SEGUIMIENTO CONTRATOS 2018'!$A:$AJ,14,0),0)</f>
        <v>0</v>
      </c>
      <c r="Y148" s="752">
        <f>+IFERROR(VLOOKUP($A148,'[4]SEGUIMIENTO CONTRATOS 2018'!$A:$AJ,15,0),0)</f>
        <v>29765000</v>
      </c>
      <c r="Z148" s="752">
        <f>+IFERROR(VLOOKUP($A148,'[4]SEGUIMIENTO CONTRATOS 2018'!$A:$AJ,15,0),0)</f>
        <v>29765000</v>
      </c>
      <c r="AA148" s="698" t="str">
        <f>+IFERROR(VLOOKUP($A148,'[4]SEGUIMIENTO CONTRATOS 2018'!$A:$AJ,16,0)," ")</f>
        <v>Cinco (5) mensualidades vencidas, cada una por valor de CINCO MILLONES NOVECIENTOS CINCUENTA Y TRES MIL PESOS ($5.953.000) M/CTE.</v>
      </c>
      <c r="AB148" s="698" t="str">
        <f>+IFERROR(VLOOKUP($A148,'[4]SEGUIMIENTO CONTRATOS 2018'!$A:$AL,38,0)," ")</f>
        <v>17418</v>
      </c>
      <c r="AC148" s="698" t="str">
        <f>+IFERROR(VLOOKUP($A148,'[4]SEGUIMIENTO CONTRATOS 2018'!$A:$AJ,24,0)," ")</f>
        <v>Cinco (05) meses, contado a partir del perfeccionamiento del mismo y registro presupuestal.</v>
      </c>
      <c r="AD148" s="751">
        <f>+IFERROR(VLOOKUP($A148,'[4]SEGUIMIENTO CONTRATOS 2018'!$A:$AJ,25,0)," ")</f>
        <v>43126</v>
      </c>
      <c r="AE148" s="751">
        <f>+IFERROR(VLOOKUP($A148,'[4]SEGUIMIENTO CONTRATOS 2018'!$A:$AJ,26,0)," ")</f>
        <v>43276</v>
      </c>
      <c r="AF148" s="698" t="str">
        <f>+IFERROR(VLOOKUP($A148,'[4]SEGUIMIENTO CONTRATOS 2018'!$A:$AJ,30,0)," ")</f>
        <v xml:space="preserve">EDINSON GABRIEL MALAGÓN MAYORGA  </v>
      </c>
      <c r="AG148" s="698" t="str">
        <f>+IFERROR(VLOOKUP($A148,'[4]SEGUIMIENTO CONTRATOS 2018'!$A:$AJ,31,0)," ")</f>
        <v>DIRECCION DE GESTION DEL CONOCIMIENTO</v>
      </c>
    </row>
    <row r="149" spans="1:33" ht="117" x14ac:dyDescent="0.25">
      <c r="A149" s="690">
        <f t="shared" si="3"/>
        <v>124</v>
      </c>
      <c r="B149" s="691" t="s">
        <v>266</v>
      </c>
      <c r="C149" s="692">
        <v>80101706</v>
      </c>
      <c r="D149" s="693" t="s">
        <v>528</v>
      </c>
      <c r="E149" s="691" t="s">
        <v>48</v>
      </c>
      <c r="F149" s="691">
        <v>1</v>
      </c>
      <c r="G149" s="694" t="s">
        <v>73</v>
      </c>
      <c r="H149" s="695">
        <v>2</v>
      </c>
      <c r="I149" s="691" t="s">
        <v>61</v>
      </c>
      <c r="J149" s="691" t="s">
        <v>66</v>
      </c>
      <c r="K149" s="691" t="s">
        <v>608</v>
      </c>
      <c r="L149" s="696">
        <v>15000000</v>
      </c>
      <c r="M149" s="697">
        <f t="shared" si="5"/>
        <v>15000000</v>
      </c>
      <c r="N149" s="691" t="s">
        <v>51</v>
      </c>
      <c r="O149" s="691" t="s">
        <v>36</v>
      </c>
      <c r="P149" s="691" t="s">
        <v>529</v>
      </c>
      <c r="Q149" s="80"/>
      <c r="R149" s="698" t="str">
        <f>+IFERROR(VLOOKUP($A149,'[4]SEGUIMIENTO CONTRATOS 2018'!$A:$AJ,2,0)," ")</f>
        <v>119-2018</v>
      </c>
      <c r="S149" s="698" t="str">
        <f>+IFERROR(VLOOKUP($A149,'[4]SEGUIMIENTO CONTRATOS 2018'!$A:$AJ,3,0)," ")</f>
        <v>SANTIAGO LEYVA BOTERO</v>
      </c>
      <c r="T149" s="751">
        <f>+IFERROR(VLOOKUP($A149,'[4]SEGUIMIENTO CONTRATOS 2018'!$A:$AJ,8,0)," ")</f>
        <v>43118</v>
      </c>
      <c r="U149" s="698" t="str">
        <f>+IFERROR(VLOOKUP($A149,'[4]SEGUIMIENTO CONTRATOS 2018'!$A:$AJ,9,0)," ")</f>
        <v>Prestar servicios profesionales en la Dirección de Gestión del Conocimiento de Función Pública, para apoyar la elaboración de un (1) documento de balance y prospectiva sobre la capacidad de cambio institucional en el sector público colombiano.</v>
      </c>
      <c r="V149" s="698" t="str">
        <f>+IFERROR(VLOOKUP($A149,'[4]SEGUIMIENTO CONTRATOS 2018'!$A:$AJ,11,0)," ")</f>
        <v>PRESTACION DE SERVICIOS PROFESIONALES</v>
      </c>
      <c r="W149" s="752">
        <f>+IFERROR(VLOOKUP($A149,'[4]SEGUIMIENTO CONTRATOS 2018'!$A:$AJ,13,0),0)</f>
        <v>15000000</v>
      </c>
      <c r="X149" s="698">
        <f>+IFERROR(VLOOKUP($A149,'[4]SEGUIMIENTO CONTRATOS 2018'!$A:$AJ,14,0),0)</f>
        <v>0</v>
      </c>
      <c r="Y149" s="752">
        <f>+IFERROR(VLOOKUP($A149,'[4]SEGUIMIENTO CONTRATOS 2018'!$A:$AJ,15,0),0)</f>
        <v>15000000</v>
      </c>
      <c r="Z149" s="752">
        <f>+IFERROR(VLOOKUP($A149,'[4]SEGUIMIENTO CONTRATOS 2018'!$A:$AJ,15,0),0)</f>
        <v>15000000</v>
      </c>
      <c r="AA149" s="698" t="str">
        <f>+IFERROR(VLOOKUP($A149,'[4]SEGUIMIENTO CONTRATOS 2018'!$A:$AJ,16,0)," ")</f>
        <v>Dos (2) mensualidades vencidas, cada una por valor de SIETE MILLONES QUINIENTOS MIL PESOS ($7.500.000) M/CTE</v>
      </c>
      <c r="AB149" s="698" t="str">
        <f>+IFERROR(VLOOKUP($A149,'[4]SEGUIMIENTO CONTRATOS 2018'!$A:$AL,38,0)," ")</f>
        <v xml:space="preserve">9618 </v>
      </c>
      <c r="AC149" s="698" t="str">
        <f>+IFERROR(VLOOKUP($A149,'[4]SEGUIMIENTO CONTRATOS 2018'!$A:$AJ,24,0)," ")</f>
        <v>Dos (2) meses, contado a partir del perfeccionamiento del mismo y registro presupuestal.</v>
      </c>
      <c r="AD149" s="751">
        <f>+IFERROR(VLOOKUP($A149,'[4]SEGUIMIENTO CONTRATOS 2018'!$A:$AJ,25,0)," ")</f>
        <v>43119</v>
      </c>
      <c r="AE149" s="751">
        <f>+IFERROR(VLOOKUP($A149,'[4]SEGUIMIENTO CONTRATOS 2018'!$A:$AJ,26,0)," ")</f>
        <v>43179</v>
      </c>
      <c r="AF149" s="698" t="str">
        <f>+IFERROR(VLOOKUP($A149,'[4]SEGUIMIENTO CONTRATOS 2018'!$A:$AJ,30,0)," ")</f>
        <v xml:space="preserve">DIEGO ALEJANDRO BELTRAN OGILVIE-BROWNE </v>
      </c>
      <c r="AG149" s="698" t="str">
        <f>+IFERROR(VLOOKUP($A149,'[4]SEGUIMIENTO CONTRATOS 2018'!$A:$AJ,31,0)," ")</f>
        <v>DIRECCION DE GESTION DEL CONOCIMIENTO</v>
      </c>
    </row>
    <row r="150" spans="1:33" ht="214.5" x14ac:dyDescent="0.25">
      <c r="A150" s="690">
        <f t="shared" si="3"/>
        <v>125</v>
      </c>
      <c r="B150" s="691" t="s">
        <v>266</v>
      </c>
      <c r="C150" s="692">
        <v>80101706</v>
      </c>
      <c r="D150" s="693" t="s">
        <v>528</v>
      </c>
      <c r="E150" s="691" t="s">
        <v>48</v>
      </c>
      <c r="F150" s="691">
        <v>1</v>
      </c>
      <c r="G150" s="694" t="s">
        <v>73</v>
      </c>
      <c r="H150" s="695">
        <v>2</v>
      </c>
      <c r="I150" s="691" t="s">
        <v>61</v>
      </c>
      <c r="J150" s="691" t="s">
        <v>66</v>
      </c>
      <c r="K150" s="691" t="s">
        <v>608</v>
      </c>
      <c r="L150" s="696">
        <v>15000000</v>
      </c>
      <c r="M150" s="697">
        <f t="shared" si="5"/>
        <v>15000000</v>
      </c>
      <c r="N150" s="691" t="s">
        <v>51</v>
      </c>
      <c r="O150" s="691" t="s">
        <v>36</v>
      </c>
      <c r="P150" s="691" t="s">
        <v>529</v>
      </c>
      <c r="Q150" s="80"/>
      <c r="R150" s="698" t="str">
        <f>+IFERROR(VLOOKUP($A150,'[4]SEGUIMIENTO CONTRATOS 2018'!$A:$AJ,2,0)," ")</f>
        <v>129-2018</v>
      </c>
      <c r="S150" s="698" t="str">
        <f>+IFERROR(VLOOKUP($A150,'[4]SEGUIMIENTO CONTRATOS 2018'!$A:$AJ,3,0)," ")</f>
        <v>JUAN MANUEL CHARRY URUEÑA</v>
      </c>
      <c r="T150" s="751">
        <f>+IFERROR(VLOOKUP($A150,'[4]SEGUIMIENTO CONTRATOS 2018'!$A:$AJ,8,0)," ")</f>
        <v>43123</v>
      </c>
      <c r="U150" s="698" t="str">
        <f>+IFERROR(VLOOKUP($A150,'[4]SEGUIMIENTO CONTRATOS 2018'!$A:$AJ,9,0)," ")</f>
        <v>Prestar servicios profesionales en la Dirección de Gestión del Conocimiento de Función Pública para apoyar la elaboración de un documento especializado que contenga el desarrollo normativo y avance jurisprudencial que regía en Colombia antes de la Constitución de 1991 y hasta la fecha, así como éstos han contribuido al mejoramiento de la administración pública, en temas de competencia de Función Pública.</v>
      </c>
      <c r="V150" s="698" t="str">
        <f>+IFERROR(VLOOKUP($A150,'[4]SEGUIMIENTO CONTRATOS 2018'!$A:$AJ,11,0)," ")</f>
        <v>PRESTACION DE SERVICIOS PROFESIONALES</v>
      </c>
      <c r="W150" s="752">
        <f>+IFERROR(VLOOKUP($A150,'[4]SEGUIMIENTO CONTRATOS 2018'!$A:$AJ,13,0),0)</f>
        <v>15000000</v>
      </c>
      <c r="X150" s="698">
        <f>+IFERROR(VLOOKUP($A150,'[4]SEGUIMIENTO CONTRATOS 2018'!$A:$AJ,14,0),0)</f>
        <v>0</v>
      </c>
      <c r="Y150" s="752">
        <f>+IFERROR(VLOOKUP($A150,'[4]SEGUIMIENTO CONTRATOS 2018'!$A:$AJ,15,0),0)</f>
        <v>15000000</v>
      </c>
      <c r="Z150" s="752">
        <f>+IFERROR(VLOOKUP($A150,'[4]SEGUIMIENTO CONTRATOS 2018'!$A:$AJ,15,0),0)</f>
        <v>15000000</v>
      </c>
      <c r="AA150" s="698" t="str">
        <f>+IFERROR(VLOOKUP($A150,'[4]SEGUIMIENTO CONTRATOS 2018'!$A:$AJ,16,0)," ")</f>
        <v>Dos (2) mensualidades vencidas, cada una por valor de SIETE MILLONES QUINIENTOS MIL PESOS ($7’500.000) M/CTE.</v>
      </c>
      <c r="AB150" s="698" t="str">
        <f>+IFERROR(VLOOKUP($A150,'[4]SEGUIMIENTO CONTRATOS 2018'!$A:$AL,38,0)," ")</f>
        <v xml:space="preserve">9718 </v>
      </c>
      <c r="AC150" s="698" t="str">
        <f>+IFERROR(VLOOKUP($A150,'[4]SEGUIMIENTO CONTRATOS 2018'!$A:$AJ,24,0)," ")</f>
        <v>Dos (2) meses, contado a partir del perfeccionamiento del mismo y registro presupuestal.</v>
      </c>
      <c r="AD150" s="751">
        <f>+IFERROR(VLOOKUP($A150,'[4]SEGUIMIENTO CONTRATOS 2018'!$A:$AJ,25,0)," ")</f>
        <v>43125</v>
      </c>
      <c r="AE150" s="751">
        <f>+IFERROR(VLOOKUP($A150,'[4]SEGUIMIENTO CONTRATOS 2018'!$A:$AJ,26,0)," ")</f>
        <v>43183</v>
      </c>
      <c r="AF150" s="698" t="str">
        <f>+IFERROR(VLOOKUP($A150,'[4]SEGUIMIENTO CONTRATOS 2018'!$A:$AJ,30,0)," ")</f>
        <v xml:space="preserve">DIEGO ALEJANDRO BELTRAN OGILVIE-BROWNE </v>
      </c>
      <c r="AG150" s="698" t="str">
        <f>+IFERROR(VLOOKUP($A150,'[4]SEGUIMIENTO CONTRATOS 2018'!$A:$AJ,31,0)," ")</f>
        <v>DIRECCION DE GESTION DEL CONOCIMIENTO</v>
      </c>
    </row>
    <row r="151" spans="1:33" ht="156" x14ac:dyDescent="0.25">
      <c r="A151" s="690">
        <f t="shared" si="3"/>
        <v>126</v>
      </c>
      <c r="B151" s="691" t="s">
        <v>266</v>
      </c>
      <c r="C151" s="692">
        <v>80101706</v>
      </c>
      <c r="D151" s="693" t="s">
        <v>647</v>
      </c>
      <c r="E151" s="691" t="s">
        <v>48</v>
      </c>
      <c r="F151" s="691">
        <v>1</v>
      </c>
      <c r="G151" s="694" t="s">
        <v>73</v>
      </c>
      <c r="H151" s="695">
        <v>8</v>
      </c>
      <c r="I151" s="691" t="s">
        <v>61</v>
      </c>
      <c r="J151" s="691" t="s">
        <v>66</v>
      </c>
      <c r="K151" s="691" t="s">
        <v>608</v>
      </c>
      <c r="L151" s="696">
        <v>15272000</v>
      </c>
      <c r="M151" s="697">
        <f t="shared" si="5"/>
        <v>15272000</v>
      </c>
      <c r="N151" s="691" t="s">
        <v>51</v>
      </c>
      <c r="O151" s="691" t="s">
        <v>36</v>
      </c>
      <c r="P151" s="691" t="s">
        <v>529</v>
      </c>
      <c r="Q151" s="80"/>
      <c r="R151" s="698" t="str">
        <f>+IFERROR(VLOOKUP($A151,'[4]SEGUIMIENTO CONTRATOS 2018'!$A:$AJ,2,0)," ")</f>
        <v>110-2018</v>
      </c>
      <c r="S151" s="698" t="str">
        <f>+IFERROR(VLOOKUP($A151,'[4]SEGUIMIENTO CONTRATOS 2018'!$A:$AJ,3,0)," ")</f>
        <v>IVAN ALEJANDRO ORTIZ CARDONA</v>
      </c>
      <c r="T151" s="751">
        <f>+IFERROR(VLOOKUP($A151,'[4]SEGUIMIENTO CONTRATOS 2018'!$A:$AJ,8,0)," ")</f>
        <v>43118</v>
      </c>
      <c r="U151" s="698" t="str">
        <f>+IFERROR(VLOOKUP($A151,'[4]SEGUIMIENTO CONTRATOS 2018'!$A:$AJ,9,0)," ")</f>
        <v>Prestar servicios de apoyo a la gestión en la Dirección de Gestión del Conocimiento de Función Pública, para efectuar la consolidación de la información generada en el proceso de gestión del conocimiento de grupos de valor y en el proceso de generación de productos y servicios para la gestión pública.</v>
      </c>
      <c r="V151" s="698" t="str">
        <f>+IFERROR(VLOOKUP($A151,'[4]SEGUIMIENTO CONTRATOS 2018'!$A:$AJ,11,0)," ")</f>
        <v>PRESTACION DE SERVICIOS DE APOYO A LA GESTION</v>
      </c>
      <c r="W151" s="752">
        <f>+IFERROR(VLOOKUP($A151,'[4]SEGUIMIENTO CONTRATOS 2018'!$A:$AJ,13,0),0)</f>
        <v>15272000</v>
      </c>
      <c r="X151" s="698">
        <f>+IFERROR(VLOOKUP($A151,'[4]SEGUIMIENTO CONTRATOS 2018'!$A:$AJ,14,0),0)</f>
        <v>0</v>
      </c>
      <c r="Y151" s="752">
        <f>+IFERROR(VLOOKUP($A151,'[4]SEGUIMIENTO CONTRATOS 2018'!$A:$AJ,15,0),0)</f>
        <v>15272000</v>
      </c>
      <c r="Z151" s="752">
        <f>+IFERROR(VLOOKUP($A151,'[4]SEGUIMIENTO CONTRATOS 2018'!$A:$AJ,15,0),0)</f>
        <v>15272000</v>
      </c>
      <c r="AA151" s="698" t="str">
        <f>+IFERROR(VLOOKUP($A151,'[4]SEGUIMIENTO CONTRATOS 2018'!$A:$AJ,16,0)," ")</f>
        <v>Ocho (8) mensualidades vencidas, cada una por valor de UN MILLÓN NOVECIENTOS NUEVE MIL PESOS ($1’909.000) M/CTE.</v>
      </c>
      <c r="AB151" s="698" t="str">
        <f>+IFERROR(VLOOKUP($A151,'[4]SEGUIMIENTO CONTRATOS 2018'!$A:$AL,38,0)," ")</f>
        <v>17218</v>
      </c>
      <c r="AC151" s="698" t="str">
        <f>+IFERROR(VLOOKUP($A151,'[4]SEGUIMIENTO CONTRATOS 2018'!$A:$AJ,24,0)," ")</f>
        <v>Ocho (8) meses, contado a partir del perfeccionamiento del mismo y registro presupuestal.</v>
      </c>
      <c r="AD151" s="751">
        <f>+IFERROR(VLOOKUP($A151,'[4]SEGUIMIENTO CONTRATOS 2018'!$A:$AJ,25,0)," ")</f>
        <v>43119</v>
      </c>
      <c r="AE151" s="751">
        <f>+IFERROR(VLOOKUP($A151,'[4]SEGUIMIENTO CONTRATOS 2018'!$A:$AJ,26,0)," ")</f>
        <v>43361</v>
      </c>
      <c r="AF151" s="698" t="str">
        <f>+IFERROR(VLOOKUP($A151,'[4]SEGUIMIENTO CONTRATOS 2018'!$A:$AJ,30,0)," ")</f>
        <v xml:space="preserve">DIEGO ALEJANDRO BELTRAN OGILVIE-BROWNE </v>
      </c>
      <c r="AG151" s="698" t="str">
        <f>+IFERROR(VLOOKUP($A151,'[4]SEGUIMIENTO CONTRATOS 2018'!$A:$AJ,31,0)," ")</f>
        <v>DIRECCION DE GESTION DEL CONOCIMIENTO</v>
      </c>
    </row>
    <row r="152" spans="1:33" ht="175.5" x14ac:dyDescent="0.25">
      <c r="A152" s="690">
        <f t="shared" si="3"/>
        <v>127</v>
      </c>
      <c r="B152" s="691" t="s">
        <v>531</v>
      </c>
      <c r="C152" s="692">
        <v>80101706</v>
      </c>
      <c r="D152" s="693" t="s">
        <v>532</v>
      </c>
      <c r="E152" s="691" t="s">
        <v>48</v>
      </c>
      <c r="F152" s="691">
        <v>1</v>
      </c>
      <c r="G152" s="694" t="s">
        <v>73</v>
      </c>
      <c r="H152" s="695" t="s">
        <v>232</v>
      </c>
      <c r="I152" s="691" t="s">
        <v>61</v>
      </c>
      <c r="J152" s="691" t="s">
        <v>66</v>
      </c>
      <c r="K152" s="691" t="s">
        <v>608</v>
      </c>
      <c r="L152" s="696">
        <v>45000000</v>
      </c>
      <c r="M152" s="697">
        <v>45000000</v>
      </c>
      <c r="N152" s="691" t="s">
        <v>51</v>
      </c>
      <c r="O152" s="691" t="s">
        <v>36</v>
      </c>
      <c r="P152" s="691" t="s">
        <v>533</v>
      </c>
      <c r="Q152" s="80"/>
      <c r="R152" s="698" t="str">
        <f>+IFERROR(VLOOKUP($A152,'[4]SEGUIMIENTO CONTRATOS 2018'!$A:$AJ,2,0)," ")</f>
        <v>132-2018</v>
      </c>
      <c r="S152" s="698" t="str">
        <f>+IFERROR(VLOOKUP($A152,'[4]SEGUIMIENTO CONTRATOS 2018'!$A:$AJ,3,0)," ")</f>
        <v>ELISABETH UNGAR BLEIER</v>
      </c>
      <c r="T152" s="751">
        <f>+IFERROR(VLOOKUP($A152,'[4]SEGUIMIENTO CONTRATOS 2018'!$A:$AJ,8,0)," ")</f>
        <v>43123</v>
      </c>
      <c r="U152" s="698" t="str">
        <f>+IFERROR(VLOOKUP($A152,'[4]SEGUIMIENTO CONTRATOS 2018'!$A:$AJ,9,0)," ")</f>
        <v>Prestar servicios profesionales en la Dirección de Participación, Transparencia y Servicio al Ciudadano de Función Pública, para apoyar la revisión de los productos de análisis y política de ésta Dirección y su pertinencia, así como proponer mejoras a los mismos, para fortalecer el posicionamiento de las políticas de relación Estado-ciudadano a cargo de la Entidad.</v>
      </c>
      <c r="V152" s="698" t="str">
        <f>+IFERROR(VLOOKUP($A152,'[4]SEGUIMIENTO CONTRATOS 2018'!$A:$AJ,11,0)," ")</f>
        <v>PRESTACION DE SERVICIOS PROFESIONALES</v>
      </c>
      <c r="W152" s="752">
        <f>+IFERROR(VLOOKUP($A152,'[4]SEGUIMIENTO CONTRATOS 2018'!$A:$AJ,13,0),0)</f>
        <v>45000000</v>
      </c>
      <c r="X152" s="698">
        <f>+IFERROR(VLOOKUP($A152,'[4]SEGUIMIENTO CONTRATOS 2018'!$A:$AJ,14,0),0)</f>
        <v>0</v>
      </c>
      <c r="Y152" s="752">
        <f>+IFERROR(VLOOKUP($A152,'[4]SEGUIMIENTO CONTRATOS 2018'!$A:$AJ,15,0),0)</f>
        <v>45000000</v>
      </c>
      <c r="Z152" s="752">
        <f>+IFERROR(VLOOKUP($A152,'[4]SEGUIMIENTO CONTRATOS 2018'!$A:$AJ,15,0),0)</f>
        <v>45000000</v>
      </c>
      <c r="AA152" s="698" t="str">
        <f>+IFERROR(VLOOKUP($A152,'[4]SEGUIMIENTO CONTRATOS 2018'!$A:$AJ,16,0)," ")</f>
        <v>Tres (3) mensualidades vencidas, cada una por valor de QUINCE MILLONES DE PESOS ($15’000.000) M/CTE.</v>
      </c>
      <c r="AB152" s="698" t="str">
        <f>+IFERROR(VLOOKUP($A152,'[4]SEGUIMIENTO CONTRATOS 2018'!$A:$AL,38,0)," ")</f>
        <v xml:space="preserve">9918 </v>
      </c>
      <c r="AC152" s="698" t="str">
        <f>+IFERROR(VLOOKUP($A152,'[4]SEGUIMIENTO CONTRATOS 2018'!$A:$AJ,24,0)," ")</f>
        <v>Tres (3) meses, contado a partir del perfeccionamiento del mismo y registro presupuestal.</v>
      </c>
      <c r="AD152" s="751">
        <f>+IFERROR(VLOOKUP($A152,'[4]SEGUIMIENTO CONTRATOS 2018'!$A:$AJ,25,0)," ")</f>
        <v>43125</v>
      </c>
      <c r="AE152" s="751">
        <f>+IFERROR(VLOOKUP($A152,'[4]SEGUIMIENTO CONTRATOS 2018'!$A:$AJ,26,0)," ")</f>
        <v>43214</v>
      </c>
      <c r="AF152" s="698" t="str">
        <f>+IFERROR(VLOOKUP($A152,'[4]SEGUIMIENTO CONTRATOS 2018'!$A:$AJ,30,0)," ")</f>
        <v>FERNANDO AUGUSTO SEGURA RESTREPO</v>
      </c>
      <c r="AG152" s="698" t="str">
        <f>+IFERROR(VLOOKUP($A152,'[4]SEGUIMIENTO CONTRATOS 2018'!$A:$AJ,31,0)," ")</f>
        <v>DIRECCION DE PARTICIPACION, TRANSPARENCIA Y SERVICIO AL CIUDADANO</v>
      </c>
    </row>
    <row r="153" spans="1:33" ht="312" x14ac:dyDescent="0.25">
      <c r="A153" s="690">
        <f t="shared" si="3"/>
        <v>128</v>
      </c>
      <c r="B153" s="691" t="s">
        <v>531</v>
      </c>
      <c r="C153" s="692">
        <v>80101706</v>
      </c>
      <c r="D153" s="693" t="s">
        <v>532</v>
      </c>
      <c r="E153" s="691" t="s">
        <v>48</v>
      </c>
      <c r="F153" s="691">
        <v>1</v>
      </c>
      <c r="G153" s="694" t="s">
        <v>73</v>
      </c>
      <c r="H153" s="695">
        <v>8</v>
      </c>
      <c r="I153" s="691" t="s">
        <v>61</v>
      </c>
      <c r="J153" s="691" t="s">
        <v>66</v>
      </c>
      <c r="K153" s="691" t="s">
        <v>608</v>
      </c>
      <c r="L153" s="696">
        <v>58800000</v>
      </c>
      <c r="M153" s="697">
        <f t="shared" si="5"/>
        <v>58800000</v>
      </c>
      <c r="N153" s="691" t="s">
        <v>51</v>
      </c>
      <c r="O153" s="691" t="s">
        <v>36</v>
      </c>
      <c r="P153" s="691" t="s">
        <v>533</v>
      </c>
      <c r="Q153" s="80"/>
      <c r="R153" s="698" t="str">
        <f>+IFERROR(VLOOKUP($A153,'[4]SEGUIMIENTO CONTRATOS 2018'!$A:$AJ,2,0)," ")</f>
        <v>065-2018</v>
      </c>
      <c r="S153" s="698" t="str">
        <f>+IFERROR(VLOOKUP($A153,'[4]SEGUIMIENTO CONTRATOS 2018'!$A:$AJ,3,0)," ")</f>
        <v>PAULA VANESSA PAEZ BARRETO</v>
      </c>
      <c r="T153" s="751">
        <f>+IFERROR(VLOOKUP($A153,'[4]SEGUIMIENTO CONTRATOS 2018'!$A:$AJ,8,0)," ")</f>
        <v>43112</v>
      </c>
      <c r="U153" s="698" t="str">
        <f>+IFERROR(VLOOKUP($A153,'[4]SEGUIMIENTO CONTRATOS 2018'!$A:$AJ,9,0)," ")</f>
        <v>Prestar servicios profesionales en la Dirección de Participación, Transparencia y Servicio al Ciudadano de Función Pública, para apoyar la elaboración, articulación y desarrollo de la estrategia de acompañamiento a entidades del nivel nacional y territorial, para la implementación del Sistema de Rendición de Cuentas del “Acuerdo Final para la Terminación del Conflicto y la Construcción de una Paz Estable y Duradera”, así como en la ejecución y articulación de éste, con espacios de participación ciudadana, sistemas de información existentes y retroalimentación al sistema de rendición de cuentas diseñado.</v>
      </c>
      <c r="V153" s="698" t="str">
        <f>+IFERROR(VLOOKUP($A153,'[4]SEGUIMIENTO CONTRATOS 2018'!$A:$AJ,11,0)," ")</f>
        <v>PRESTACION DE SERVICIOS PROFESIONALES</v>
      </c>
      <c r="W153" s="752">
        <f>+IFERROR(VLOOKUP($A153,'[4]SEGUIMIENTO CONTRATOS 2018'!$A:$AJ,13,0),0)</f>
        <v>58800000</v>
      </c>
      <c r="X153" s="698">
        <f>+IFERROR(VLOOKUP($A153,'[4]SEGUIMIENTO CONTRATOS 2018'!$A:$AJ,14,0),0)</f>
        <v>0</v>
      </c>
      <c r="Y153" s="752">
        <f>+IFERROR(VLOOKUP($A153,'[4]SEGUIMIENTO CONTRATOS 2018'!$A:$AJ,15,0),0)</f>
        <v>58800000</v>
      </c>
      <c r="Z153" s="752">
        <f>+IFERROR(VLOOKUP($A153,'[4]SEGUIMIENTO CONTRATOS 2018'!$A:$AJ,15,0),0)</f>
        <v>58800000</v>
      </c>
      <c r="AA153" s="698" t="str">
        <f>+IFERROR(VLOOKUP($A153,'[4]SEGUIMIENTO CONTRATOS 2018'!$A:$AJ,16,0)," ")</f>
        <v>Ocho (8) mensualidades vencidas, cada una por valor de SIETE MILLONES TRESCIENTOS CINCUENTA MIL PESOS ($7’350.000) M/CTE</v>
      </c>
      <c r="AB153" s="698" t="str">
        <f>+IFERROR(VLOOKUP($A153,'[4]SEGUIMIENTO CONTRATOS 2018'!$A:$AL,38,0)," ")</f>
        <v>10018</v>
      </c>
      <c r="AC153" s="698" t="str">
        <f>+IFERROR(VLOOKUP($A153,'[4]SEGUIMIENTO CONTRATOS 2018'!$A:$AJ,24,0)," ")</f>
        <v>Ocho (08) meses, contado a partir del perfeccionamiento del mismo y registro presupuestal.</v>
      </c>
      <c r="AD153" s="751">
        <f>+IFERROR(VLOOKUP($A153,'[4]SEGUIMIENTO CONTRATOS 2018'!$A:$AJ,25,0)," ")</f>
        <v>43116</v>
      </c>
      <c r="AE153" s="751">
        <f>+IFERROR(VLOOKUP($A153,'[4]SEGUIMIENTO CONTRATOS 2018'!$A:$AJ,26,0)," ")</f>
        <v>43358</v>
      </c>
      <c r="AF153" s="698" t="str">
        <f>+IFERROR(VLOOKUP($A153,'[4]SEGUIMIENTO CONTRATOS 2018'!$A:$AJ,30,0)," ")</f>
        <v xml:space="preserve">SUSAN SIMONETH SUÁREZ GUTIÉRREZ </v>
      </c>
      <c r="AG153" s="698" t="str">
        <f>+IFERROR(VLOOKUP($A153,'[4]SEGUIMIENTO CONTRATOS 2018'!$A:$AJ,31,0)," ")</f>
        <v>DIRECCION DE PARTICIPACION, TRANSPARENCIA Y SERVICIO AL CIUDADANO</v>
      </c>
    </row>
    <row r="154" spans="1:33" ht="136.5" x14ac:dyDescent="0.25">
      <c r="A154" s="690">
        <f t="shared" ref="A154:A217" si="6">SUM(A153+1)</f>
        <v>129</v>
      </c>
      <c r="B154" s="691" t="s">
        <v>531</v>
      </c>
      <c r="C154" s="692">
        <v>80101706</v>
      </c>
      <c r="D154" s="693" t="s">
        <v>532</v>
      </c>
      <c r="E154" s="691" t="s">
        <v>48</v>
      </c>
      <c r="F154" s="691">
        <v>1</v>
      </c>
      <c r="G154" s="694" t="s">
        <v>73</v>
      </c>
      <c r="H154" s="695">
        <v>8</v>
      </c>
      <c r="I154" s="691" t="s">
        <v>61</v>
      </c>
      <c r="J154" s="691" t="s">
        <v>66</v>
      </c>
      <c r="K154" s="691" t="s">
        <v>608</v>
      </c>
      <c r="L154" s="696">
        <v>48000000</v>
      </c>
      <c r="M154" s="697">
        <f t="shared" si="5"/>
        <v>48000000</v>
      </c>
      <c r="N154" s="691" t="s">
        <v>51</v>
      </c>
      <c r="O154" s="691" t="s">
        <v>36</v>
      </c>
      <c r="P154" s="691" t="s">
        <v>533</v>
      </c>
      <c r="Q154" s="80"/>
      <c r="R154" s="698" t="str">
        <f>+IFERROR(VLOOKUP($A154,'[4]SEGUIMIENTO CONTRATOS 2018'!$A:$AJ,2,0)," ")</f>
        <v>079-2018</v>
      </c>
      <c r="S154" s="698" t="str">
        <f>+IFERROR(VLOOKUP($A154,'[4]SEGUIMIENTO CONTRATOS 2018'!$A:$AJ,3,0)," ")</f>
        <v>CLAUDIA PATRICIA DIAZ BAQUERO</v>
      </c>
      <c r="T154" s="751">
        <f>+IFERROR(VLOOKUP($A154,'[4]SEGUIMIENTO CONTRATOS 2018'!$A:$AJ,8,0)," ")</f>
        <v>43115</v>
      </c>
      <c r="U154" s="698" t="str">
        <f>+IFERROR(VLOOKUP($A154,'[4]SEGUIMIENTO CONTRATOS 2018'!$A:$AJ,9,0)," ")</f>
        <v>Prestar servicios profesionales en la Dirección de Participación, Transparencia y Servicio al Ciudadano de Función Pública, para apoyar la implementación y seguimiento a las iniciativas de simplificación de reportes, que las entidades territoriales deban presentar a las entidades nacionales.</v>
      </c>
      <c r="V154" s="698" t="str">
        <f>+IFERROR(VLOOKUP($A154,'[4]SEGUIMIENTO CONTRATOS 2018'!$A:$AJ,11,0)," ")</f>
        <v>PRESTACION DE SERVICIOS PROFESIONALES</v>
      </c>
      <c r="W154" s="752">
        <f>+IFERROR(VLOOKUP($A154,'[4]SEGUIMIENTO CONTRATOS 2018'!$A:$AJ,13,0),0)</f>
        <v>48000000</v>
      </c>
      <c r="X154" s="698">
        <f>+IFERROR(VLOOKUP($A154,'[4]SEGUIMIENTO CONTRATOS 2018'!$A:$AJ,14,0),0)</f>
        <v>0</v>
      </c>
      <c r="Y154" s="752">
        <f>+IFERROR(VLOOKUP($A154,'[4]SEGUIMIENTO CONTRATOS 2018'!$A:$AJ,15,0),0)</f>
        <v>48000000</v>
      </c>
      <c r="Z154" s="752">
        <f>+IFERROR(VLOOKUP($A154,'[4]SEGUIMIENTO CONTRATOS 2018'!$A:$AJ,15,0),0)</f>
        <v>48000000</v>
      </c>
      <c r="AA154" s="698" t="str">
        <f>+IFERROR(VLOOKUP($A154,'[4]SEGUIMIENTO CONTRATOS 2018'!$A:$AJ,16,0)," ")</f>
        <v>Ocho (8) mensualidades vencidas, cada una por valor de SEIS MILLONES DE PESOS ($6’000.000) M/CTE.</v>
      </c>
      <c r="AB154" s="698" t="str">
        <f>+IFERROR(VLOOKUP($A154,'[4]SEGUIMIENTO CONTRATOS 2018'!$A:$AL,38,0)," ")</f>
        <v xml:space="preserve">1018 </v>
      </c>
      <c r="AC154" s="698" t="str">
        <f>+IFERROR(VLOOKUP($A154,'[4]SEGUIMIENTO CONTRATOS 2018'!$A:$AJ,24,0)," ")</f>
        <v>Ocho (8) meses, contados a partir del perfeccionamiento del mismo y registro presupuestal.</v>
      </c>
      <c r="AD154" s="751">
        <f>+IFERROR(VLOOKUP($A154,'[4]SEGUIMIENTO CONTRATOS 2018'!$A:$AJ,25,0)," ")</f>
        <v>43118</v>
      </c>
      <c r="AE154" s="751">
        <f>+IFERROR(VLOOKUP($A154,'[4]SEGUIMIENTO CONTRATOS 2018'!$A:$AJ,26,0)," ")</f>
        <v>43360</v>
      </c>
      <c r="AF154" s="698" t="str">
        <f>+IFERROR(VLOOKUP($A154,'[4]SEGUIMIENTO CONTRATOS 2018'!$A:$AJ,30,0)," ")</f>
        <v xml:space="preserve">LINA MARIA MONCALEANO CUELLAR </v>
      </c>
      <c r="AG154" s="698" t="str">
        <f>+IFERROR(VLOOKUP($A154,'[4]SEGUIMIENTO CONTRATOS 2018'!$A:$AJ,31,0)," ")</f>
        <v>DIRECCION DE PARTICIPACION, TRANSPARENCIA Y SERVICIO AL CIUDADANO</v>
      </c>
    </row>
    <row r="155" spans="1:33" ht="90.6" customHeight="1" x14ac:dyDescent="0.25">
      <c r="A155" s="690">
        <f t="shared" si="6"/>
        <v>130</v>
      </c>
      <c r="B155" s="691" t="s">
        <v>492</v>
      </c>
      <c r="C155" s="692">
        <v>80101706</v>
      </c>
      <c r="D155" s="693" t="s">
        <v>539</v>
      </c>
      <c r="E155" s="691" t="s">
        <v>48</v>
      </c>
      <c r="F155" s="691">
        <v>1</v>
      </c>
      <c r="G155" s="694" t="s">
        <v>73</v>
      </c>
      <c r="H155" s="695">
        <v>5</v>
      </c>
      <c r="I155" s="691" t="s">
        <v>61</v>
      </c>
      <c r="J155" s="691" t="s">
        <v>66</v>
      </c>
      <c r="K155" s="691" t="s">
        <v>608</v>
      </c>
      <c r="L155" s="696">
        <v>32550000</v>
      </c>
      <c r="M155" s="697">
        <f t="shared" si="5"/>
        <v>32550000</v>
      </c>
      <c r="N155" s="691" t="s">
        <v>51</v>
      </c>
      <c r="O155" s="691" t="s">
        <v>36</v>
      </c>
      <c r="P155" s="691" t="s">
        <v>308</v>
      </c>
      <c r="Q155" s="80"/>
      <c r="R155" s="698" t="str">
        <f>+IFERROR(VLOOKUP($A155,'[4]SEGUIMIENTO CONTRATOS 2018'!$A:$AJ,2,0)," ")</f>
        <v>111-2018</v>
      </c>
      <c r="S155" s="698" t="str">
        <f>+IFERROR(VLOOKUP($A155,'[4]SEGUIMIENTO CONTRATOS 2018'!$A:$AJ,3,0)," ")</f>
        <v>GERMAN ANDRES MAHECHA SUAREZ</v>
      </c>
      <c r="T155" s="751">
        <f>+IFERROR(VLOOKUP($A155,'[4]SEGUIMIENTO CONTRATOS 2018'!$A:$AJ,8,0)," ")</f>
        <v>43118</v>
      </c>
      <c r="U155" s="698" t="str">
        <f>+IFERROR(VLOOKUP($A155,'[4]SEGUIMIENTO CONTRATOS 2018'!$A:$AJ,9,0)," ")</f>
        <v>Prestar los servicios profesionales en la Oficina de Tecnologías de la Información y las Comunicaciones de Función Pública, para apoyar las necesidades de desarrollo e integración, del Sistema de Rendición de Cuentas para la implementación del Acuerdo de Paz, así como de las nuevas funcionalidades y procesos de administración, del Manual Único de Rendición de Cuentas.</v>
      </c>
      <c r="V155" s="698" t="str">
        <f>+IFERROR(VLOOKUP($A155,'[4]SEGUIMIENTO CONTRATOS 2018'!$A:$AJ,11,0)," ")</f>
        <v>PRESTACION DE SERVICIOS PROFESIONALES</v>
      </c>
      <c r="W155" s="752">
        <f>+IFERROR(VLOOKUP($A155,'[4]SEGUIMIENTO CONTRATOS 2018'!$A:$AJ,13,0),0)</f>
        <v>32550000</v>
      </c>
      <c r="X155" s="698">
        <f>+IFERROR(VLOOKUP($A155,'[4]SEGUIMIENTO CONTRATOS 2018'!$A:$AJ,14,0),0)</f>
        <v>0</v>
      </c>
      <c r="Y155" s="752">
        <f>+IFERROR(VLOOKUP($A155,'[4]SEGUIMIENTO CONTRATOS 2018'!$A:$AJ,15,0),0)</f>
        <v>32550000</v>
      </c>
      <c r="Z155" s="752">
        <f>+IFERROR(VLOOKUP($A155,'[4]SEGUIMIENTO CONTRATOS 2018'!$A:$AJ,15,0),0)</f>
        <v>32550000</v>
      </c>
      <c r="AA155" s="698" t="str">
        <f>+IFERROR(VLOOKUP($A155,'[4]SEGUIMIENTO CONTRATOS 2018'!$A:$AJ,16,0)," ")</f>
        <v>Cinco (5) mensualidades vencidas, cada una por valor de SEIS MILLONES QUINIENTOS DIEZ MIL PESOS ($6.510.000) M/CTE.</v>
      </c>
      <c r="AB155" s="698" t="str">
        <f>+IFERROR(VLOOKUP($A155,'[4]SEGUIMIENTO CONTRATOS 2018'!$A:$AL,38,0)," ")</f>
        <v>10218</v>
      </c>
      <c r="AC155" s="698" t="str">
        <f>+IFERROR(VLOOKUP($A155,'[4]SEGUIMIENTO CONTRATOS 2018'!$A:$AJ,24,0)," ")</f>
        <v>Cinco (5) meses, contado a partir del perfeccionamiento del mismo y registro presupuestal.</v>
      </c>
      <c r="AD155" s="751">
        <f>+IFERROR(VLOOKUP($A155,'[4]SEGUIMIENTO CONTRATOS 2018'!$A:$AJ,25,0)," ")</f>
        <v>43119</v>
      </c>
      <c r="AE155" s="751">
        <f>+IFERROR(VLOOKUP($A155,'[4]SEGUIMIENTO CONTRATOS 2018'!$A:$AJ,26,0)," ")</f>
        <v>43269</v>
      </c>
      <c r="AF155" s="698" t="str">
        <f>+IFERROR(VLOOKUP($A155,'[4]SEGUIMIENTO CONTRATOS 2018'!$A:$AJ,30,0)," ")</f>
        <v>EDUAR ALFONSO GAVIRIA VERA</v>
      </c>
      <c r="AG155" s="698" t="str">
        <f>+IFERROR(VLOOKUP($A155,'[4]SEGUIMIENTO CONTRATOS 2018'!$A:$AJ,31,0)," ")</f>
        <v xml:space="preserve">OFICINA DE TECNOLOGIAS DE LA INFORMACION Y LAS COMUNICACIONES </v>
      </c>
    </row>
    <row r="156" spans="1:33" ht="84.6" customHeight="1" x14ac:dyDescent="0.25">
      <c r="A156" s="690">
        <f t="shared" si="6"/>
        <v>131</v>
      </c>
      <c r="B156" s="691" t="s">
        <v>492</v>
      </c>
      <c r="C156" s="692">
        <v>80101706</v>
      </c>
      <c r="D156" s="693" t="s">
        <v>539</v>
      </c>
      <c r="E156" s="691" t="s">
        <v>48</v>
      </c>
      <c r="F156" s="691">
        <v>1</v>
      </c>
      <c r="G156" s="694" t="s">
        <v>73</v>
      </c>
      <c r="H156" s="695">
        <v>8</v>
      </c>
      <c r="I156" s="691" t="s">
        <v>61</v>
      </c>
      <c r="J156" s="691" t="s">
        <v>66</v>
      </c>
      <c r="K156" s="691" t="s">
        <v>608</v>
      </c>
      <c r="L156" s="696">
        <v>42400000</v>
      </c>
      <c r="M156" s="697">
        <f t="shared" si="5"/>
        <v>42400000</v>
      </c>
      <c r="N156" s="691" t="s">
        <v>51</v>
      </c>
      <c r="O156" s="691" t="s">
        <v>36</v>
      </c>
      <c r="P156" s="691" t="s">
        <v>308</v>
      </c>
      <c r="Q156" s="80"/>
      <c r="R156" s="698" t="str">
        <f>+IFERROR(VLOOKUP($A156,'[4]SEGUIMIENTO CONTRATOS 2018'!$A:$AJ,2,0)," ")</f>
        <v>053-2018</v>
      </c>
      <c r="S156" s="698" t="str">
        <f>+IFERROR(VLOOKUP($A156,'[4]SEGUIMIENTO CONTRATOS 2018'!$A:$AJ,3,0)," ")</f>
        <v>MONICA SILVA ELIAS</v>
      </c>
      <c r="T156" s="751">
        <f>+IFERROR(VLOOKUP($A156,'[4]SEGUIMIENTO CONTRATOS 2018'!$A:$AJ,8,0)," ")</f>
        <v>43110</v>
      </c>
      <c r="U156" s="698" t="str">
        <f>+IFERROR(VLOOKUP($A156,'[4]SEGUIMIENTO CONTRATOS 2018'!$A:$AJ,9,0)," ")</f>
        <v>Prestar servicios profesionales en la Oficina de Tecnologias de la Información y las Comunicaciones de Función Pública, para realizar el diseño gráfico y las piezas gráficas de los portales y micrositios de la Entidad, los cursos virtuales y la red virtual de servidores públicos, asi como apoyar la migración de EVA  a la plataforma Liferay DXP.</v>
      </c>
      <c r="V156" s="698" t="str">
        <f>+IFERROR(VLOOKUP($A156,'[4]SEGUIMIENTO CONTRATOS 2018'!$A:$AJ,11,0)," ")</f>
        <v>PRESTACION DE SERVICIOS PROFESIONALES</v>
      </c>
      <c r="W156" s="752">
        <f>+IFERROR(VLOOKUP($A156,'[4]SEGUIMIENTO CONTRATOS 2018'!$A:$AJ,13,0),0)</f>
        <v>42400000</v>
      </c>
      <c r="X156" s="698">
        <f>+IFERROR(VLOOKUP($A156,'[4]SEGUIMIENTO CONTRATOS 2018'!$A:$AJ,14,0),0)</f>
        <v>0</v>
      </c>
      <c r="Y156" s="752">
        <f>+IFERROR(VLOOKUP($A156,'[4]SEGUIMIENTO CONTRATOS 2018'!$A:$AJ,15,0),0)</f>
        <v>42400000</v>
      </c>
      <c r="Z156" s="752">
        <f>+IFERROR(VLOOKUP($A156,'[4]SEGUIMIENTO CONTRATOS 2018'!$A:$AJ,15,0),0)</f>
        <v>42400000</v>
      </c>
      <c r="AA156" s="698" t="str">
        <f>+IFERROR(VLOOKUP($A156,'[4]SEGUIMIENTO CONTRATOS 2018'!$A:$AJ,16,0)," ")</f>
        <v>Ocho (8) mensualidades vencidas, cada una por valor de CINCO MILLONES TRESCIENTOS MIL PESOS ($5’300.000) M/CTE.</v>
      </c>
      <c r="AB156" s="698" t="str">
        <f>+IFERROR(VLOOKUP($A156,'[4]SEGUIMIENTO CONTRATOS 2018'!$A:$AL,38,0)," ")</f>
        <v>10318</v>
      </c>
      <c r="AC156" s="698" t="str">
        <f>+IFERROR(VLOOKUP($A156,'[4]SEGUIMIENTO CONTRATOS 2018'!$A:$AJ,24,0)," ")</f>
        <v>Ocho (08) meses, contado a partir del perfeccionamiento del mismo y registro presupuestal.</v>
      </c>
      <c r="AD156" s="751">
        <f>+IFERROR(VLOOKUP($A156,'[4]SEGUIMIENTO CONTRATOS 2018'!$A:$AJ,25,0)," ")</f>
        <v>43116</v>
      </c>
      <c r="AE156" s="751">
        <f>+IFERROR(VLOOKUP($A156,'[4]SEGUIMIENTO CONTRATOS 2018'!$A:$AJ,26,0)," ")</f>
        <v>43358</v>
      </c>
      <c r="AF156" s="698" t="str">
        <f>+IFERROR(VLOOKUP($A156,'[4]SEGUIMIENTO CONTRATOS 2018'!$A:$AJ,30,0)," ")</f>
        <v>ROGER QUIRAMA GARCIA</v>
      </c>
      <c r="AG156" s="698" t="str">
        <f>+IFERROR(VLOOKUP($A156,'[4]SEGUIMIENTO CONTRATOS 2018'!$A:$AJ,31,0)," ")</f>
        <v xml:space="preserve">OFICINA DE TECNOLOGIAS DE LA INFORMACION Y LAS COMUNICACIONES </v>
      </c>
    </row>
    <row r="157" spans="1:33" ht="88.15" customHeight="1" x14ac:dyDescent="0.25">
      <c r="A157" s="690">
        <f t="shared" si="6"/>
        <v>132</v>
      </c>
      <c r="B157" s="691" t="s">
        <v>492</v>
      </c>
      <c r="C157" s="692">
        <v>80101706</v>
      </c>
      <c r="D157" s="693" t="s">
        <v>539</v>
      </c>
      <c r="E157" s="691" t="s">
        <v>48</v>
      </c>
      <c r="F157" s="691">
        <v>1</v>
      </c>
      <c r="G157" s="694" t="s">
        <v>73</v>
      </c>
      <c r="H157" s="695">
        <v>8</v>
      </c>
      <c r="I157" s="691" t="s">
        <v>61</v>
      </c>
      <c r="J157" s="691" t="s">
        <v>66</v>
      </c>
      <c r="K157" s="691" t="s">
        <v>608</v>
      </c>
      <c r="L157" s="696">
        <v>52080000</v>
      </c>
      <c r="M157" s="697">
        <f t="shared" si="5"/>
        <v>52080000</v>
      </c>
      <c r="N157" s="691" t="s">
        <v>51</v>
      </c>
      <c r="O157" s="691" t="s">
        <v>36</v>
      </c>
      <c r="P157" s="691" t="s">
        <v>308</v>
      </c>
      <c r="Q157" s="80"/>
      <c r="R157" s="698" t="str">
        <f>+IFERROR(VLOOKUP($A157,'[4]SEGUIMIENTO CONTRATOS 2018'!$A:$AJ,2,0)," ")</f>
        <v>051-2018</v>
      </c>
      <c r="S157" s="698" t="str">
        <f>+IFERROR(VLOOKUP($A157,'[4]SEGUIMIENTO CONTRATOS 2018'!$A:$AJ,3,0)," ")</f>
        <v>JOHNAHAN ARROYO ARROYO</v>
      </c>
      <c r="T157" s="751">
        <f>+IFERROR(VLOOKUP($A157,'[4]SEGUIMIENTO CONTRATOS 2018'!$A:$AJ,8,0)," ")</f>
        <v>43110</v>
      </c>
      <c r="U157" s="698" t="str">
        <f>+IFERROR(VLOOKUP($A157,'[4]SEGUIMIENTO CONTRATOS 2018'!$A:$AJ,9,0)," ")</f>
        <v>Prestar servicios profesionales en la Oficina de las Tecnologías de la Información y las Comunicaciones de Función Pública, para el desarrollo de software e implementación de nuevas funcionalidades en el Espacio Virtual de Asesoría - EVA, sus micrositios y la Red de Servidores Públicos, su mantenimiento y mejora, así como realizar la migración de EVA a la plataforma Liferay DXP.</v>
      </c>
      <c r="V157" s="698" t="str">
        <f>+IFERROR(VLOOKUP($A157,'[4]SEGUIMIENTO CONTRATOS 2018'!$A:$AJ,11,0)," ")</f>
        <v>PRESTACION DE SERVICIOS PROFESIONALES</v>
      </c>
      <c r="W157" s="752">
        <f>+IFERROR(VLOOKUP($A157,'[4]SEGUIMIENTO CONTRATOS 2018'!$A:$AJ,13,0),0)</f>
        <v>52080000</v>
      </c>
      <c r="X157" s="698">
        <f>+IFERROR(VLOOKUP($A157,'[4]SEGUIMIENTO CONTRATOS 2018'!$A:$AJ,14,0),0)</f>
        <v>0</v>
      </c>
      <c r="Y157" s="752">
        <f>+IFERROR(VLOOKUP($A157,'[4]SEGUIMIENTO CONTRATOS 2018'!$A:$AJ,15,0),0)</f>
        <v>52080000</v>
      </c>
      <c r="Z157" s="752">
        <f>+IFERROR(VLOOKUP($A157,'[4]SEGUIMIENTO CONTRATOS 2018'!$A:$AJ,15,0),0)</f>
        <v>52080000</v>
      </c>
      <c r="AA157" s="698" t="str">
        <f>+IFERROR(VLOOKUP($A157,'[4]SEGUIMIENTO CONTRATOS 2018'!$A:$AJ,16,0)," ")</f>
        <v>Ocho (8) mensualidades vencidas, cada una por valor de SEIS MILLONES QUINIENTOS DIEZ MIL PESOS ($6’510.000) M/CTE.</v>
      </c>
      <c r="AB157" s="698" t="str">
        <f>+IFERROR(VLOOKUP($A157,'[4]SEGUIMIENTO CONTRATOS 2018'!$A:$AL,38,0)," ")</f>
        <v>10418</v>
      </c>
      <c r="AC157" s="698" t="str">
        <f>+IFERROR(VLOOKUP($A157,'[4]SEGUIMIENTO CONTRATOS 2018'!$A:$AJ,24,0)," ")</f>
        <v>Cinco (05) meses, contado a partir del perfeccionamiento del mismo y registro presupuestal.</v>
      </c>
      <c r="AD157" s="751">
        <f>+IFERROR(VLOOKUP($A157,'[4]SEGUIMIENTO CONTRATOS 2018'!$A:$AJ,25,0)," ")</f>
        <v>43116</v>
      </c>
      <c r="AE157" s="751">
        <f>+IFERROR(VLOOKUP($A157,'[4]SEGUIMIENTO CONTRATOS 2018'!$A:$AJ,26,0)," ")</f>
        <v>43266</v>
      </c>
      <c r="AF157" s="698" t="str">
        <f>+IFERROR(VLOOKUP($A157,'[4]SEGUIMIENTO CONTRATOS 2018'!$A:$AJ,30,0)," ")</f>
        <v>ROGER QUIRAMA GARCIA</v>
      </c>
      <c r="AG157" s="698" t="str">
        <f>+IFERROR(VLOOKUP($A157,'[4]SEGUIMIENTO CONTRATOS 2018'!$A:$AJ,31,0)," ")</f>
        <v xml:space="preserve">OFICINA DE TECNOLOGIAS DE LA INFORMACION Y LAS COMUNICACIONES </v>
      </c>
    </row>
    <row r="158" spans="1:33" ht="214.5" x14ac:dyDescent="0.25">
      <c r="A158" s="690">
        <f t="shared" si="6"/>
        <v>133</v>
      </c>
      <c r="B158" s="691" t="s">
        <v>492</v>
      </c>
      <c r="C158" s="692">
        <v>80101706</v>
      </c>
      <c r="D158" s="693" t="s">
        <v>539</v>
      </c>
      <c r="E158" s="691" t="s">
        <v>48</v>
      </c>
      <c r="F158" s="691">
        <v>1</v>
      </c>
      <c r="G158" s="694" t="s">
        <v>73</v>
      </c>
      <c r="H158" s="695">
        <v>8</v>
      </c>
      <c r="I158" s="691" t="s">
        <v>61</v>
      </c>
      <c r="J158" s="691" t="s">
        <v>66</v>
      </c>
      <c r="K158" s="691" t="s">
        <v>608</v>
      </c>
      <c r="L158" s="696">
        <v>52080000</v>
      </c>
      <c r="M158" s="697">
        <f t="shared" si="5"/>
        <v>52080000</v>
      </c>
      <c r="N158" s="691" t="s">
        <v>51</v>
      </c>
      <c r="O158" s="691" t="s">
        <v>36</v>
      </c>
      <c r="P158" s="691" t="s">
        <v>308</v>
      </c>
      <c r="Q158" s="80"/>
      <c r="R158" s="698" t="str">
        <f>+IFERROR(VLOOKUP($A158,'[4]SEGUIMIENTO CONTRATOS 2018'!$A:$AJ,2,0)," ")</f>
        <v>052-2018</v>
      </c>
      <c r="S158" s="698" t="str">
        <f>+IFERROR(VLOOKUP($A158,'[4]SEGUIMIENTO CONTRATOS 2018'!$A:$AJ,3,0)," ")</f>
        <v>JAVIER LEÓN RICARDO SANCHEZ LIZARAZO</v>
      </c>
      <c r="T158" s="751">
        <f>+IFERROR(VLOOKUP($A158,'[4]SEGUIMIENTO CONTRATOS 2018'!$A:$AJ,8,0)," ")</f>
        <v>43110</v>
      </c>
      <c r="U158" s="698" t="str">
        <f>+IFERROR(VLOOKUP($A158,'[4]SEGUIMIENTO CONTRATOS 2018'!$A:$AJ,9,0)," ")</f>
        <v>Prestar servicios profesionales en la Oficina de Tecnologias de la Información y las Comunicaciones de Función Pública, para apoyar realizar el diseño web del espacio virtual se asesoría - EVA, los micrositios y la red virtual de servidores públicos de Función Pública, aso como el soporte técnico, sostenibilidad y migración a la plataforma Liferay DXP del Espacio Virtual de Asesoria (EVA) e instalar, implmentar y configurar los cursos virtuales sobre el sistema moodle.</v>
      </c>
      <c r="V158" s="698" t="str">
        <f>+IFERROR(VLOOKUP($A158,'[4]SEGUIMIENTO CONTRATOS 2018'!$A:$AJ,11,0)," ")</f>
        <v>PRESTACION DE SERVICIOS PROFESIONALES</v>
      </c>
      <c r="W158" s="752">
        <f>+IFERROR(VLOOKUP($A158,'[4]SEGUIMIENTO CONTRATOS 2018'!$A:$AJ,13,0),0)</f>
        <v>52080000</v>
      </c>
      <c r="X158" s="698">
        <f>+IFERROR(VLOOKUP($A158,'[4]SEGUIMIENTO CONTRATOS 2018'!$A:$AJ,14,0),0)</f>
        <v>0</v>
      </c>
      <c r="Y158" s="752">
        <f>+IFERROR(VLOOKUP($A158,'[4]SEGUIMIENTO CONTRATOS 2018'!$A:$AJ,15,0),0)</f>
        <v>52080000</v>
      </c>
      <c r="Z158" s="752">
        <f>+IFERROR(VLOOKUP($A158,'[4]SEGUIMIENTO CONTRATOS 2018'!$A:$AJ,15,0),0)</f>
        <v>52080000</v>
      </c>
      <c r="AA158" s="698" t="str">
        <f>+IFERROR(VLOOKUP($A158,'[4]SEGUIMIENTO CONTRATOS 2018'!$A:$AJ,16,0)," ")</f>
        <v>Ocho (8) mensualidades vencidas, cada una por valor de SEIS MILLONES QUINIENTOS DIEZ MIL PESOS ($6’510.000) M/CTE.</v>
      </c>
      <c r="AB158" s="698" t="str">
        <f>+IFERROR(VLOOKUP($A158,'[4]SEGUIMIENTO CONTRATOS 2018'!$A:$AL,38,0)," ")</f>
        <v>10518</v>
      </c>
      <c r="AC158" s="698" t="str">
        <f>+IFERROR(VLOOKUP($A158,'[4]SEGUIMIENTO CONTRATOS 2018'!$A:$AJ,24,0)," ")</f>
        <v>Ocho (08) meses, contado a partir del perfeccionamiento del mismo y registro presupuestal.</v>
      </c>
      <c r="AD158" s="751">
        <f>+IFERROR(VLOOKUP($A158,'[4]SEGUIMIENTO CONTRATOS 2018'!$A:$AJ,25,0)," ")</f>
        <v>43116</v>
      </c>
      <c r="AE158" s="751">
        <f>+IFERROR(VLOOKUP($A158,'[4]SEGUIMIENTO CONTRATOS 2018'!$A:$AJ,26,0)," ")</f>
        <v>43358</v>
      </c>
      <c r="AF158" s="698" t="str">
        <f>+IFERROR(VLOOKUP($A158,'[4]SEGUIMIENTO CONTRATOS 2018'!$A:$AJ,30,0)," ")</f>
        <v>ROGER QUIRAMA GARCIA</v>
      </c>
      <c r="AG158" s="698" t="str">
        <f>+IFERROR(VLOOKUP($A158,'[4]SEGUIMIENTO CONTRATOS 2018'!$A:$AJ,31,0)," ")</f>
        <v xml:space="preserve">OFICINA DE TECNOLOGIAS DE LA INFORMACION Y LAS COMUNICACIONES </v>
      </c>
    </row>
    <row r="159" spans="1:33" ht="136.5" x14ac:dyDescent="0.25">
      <c r="A159" s="690">
        <f t="shared" si="6"/>
        <v>134</v>
      </c>
      <c r="B159" s="691" t="s">
        <v>540</v>
      </c>
      <c r="C159" s="692">
        <v>80101706</v>
      </c>
      <c r="D159" s="693" t="s">
        <v>541</v>
      </c>
      <c r="E159" s="691" t="s">
        <v>48</v>
      </c>
      <c r="F159" s="691">
        <v>1</v>
      </c>
      <c r="G159" s="694" t="s">
        <v>73</v>
      </c>
      <c r="H159" s="695">
        <v>8</v>
      </c>
      <c r="I159" s="691" t="s">
        <v>61</v>
      </c>
      <c r="J159" s="691" t="s">
        <v>66</v>
      </c>
      <c r="K159" s="691" t="s">
        <v>608</v>
      </c>
      <c r="L159" s="696">
        <v>48000000</v>
      </c>
      <c r="M159" s="697">
        <f t="shared" si="5"/>
        <v>48000000</v>
      </c>
      <c r="N159" s="691" t="s">
        <v>51</v>
      </c>
      <c r="O159" s="691" t="s">
        <v>36</v>
      </c>
      <c r="P159" s="691" t="s">
        <v>542</v>
      </c>
      <c r="Q159" s="80"/>
      <c r="R159" s="698" t="str">
        <f>+IFERROR(VLOOKUP($A159,'[4]SEGUIMIENTO CONTRATOS 2018'!$A:$AJ,2,0)," ")</f>
        <v>125-2018</v>
      </c>
      <c r="S159" s="698" t="str">
        <f>+IFERROR(VLOOKUP($A159,'[4]SEGUIMIENTO CONTRATOS 2018'!$A:$AJ,3,0)," ")</f>
        <v>WILLIAM JAVIER PINTO SOLER</v>
      </c>
      <c r="T159" s="751">
        <f>+IFERROR(VLOOKUP($A159,'[4]SEGUIMIENTO CONTRATOS 2018'!$A:$AJ,8,0)," ")</f>
        <v>43122</v>
      </c>
      <c r="U159" s="698" t="str">
        <f>+IFERROR(VLOOKUP($A159,'[4]SEGUIMIENTO CONTRATOS 2018'!$A:$AJ,9,0)," ")</f>
        <v>Prestar servicios profesionales en la Oficina Asesora de Comunicaciones, para apoyar el mantenimiento y programación de los contenidos del sitio web de la Entidad y la producción de las piezas audiovisuales, en el marco de la Estrategia de Comunicaciones de Función Pública.</v>
      </c>
      <c r="V159" s="698" t="str">
        <f>+IFERROR(VLOOKUP($A159,'[4]SEGUIMIENTO CONTRATOS 2018'!$A:$AJ,11,0)," ")</f>
        <v>PRESTACION DE SERVICIOS PROFESIONALES</v>
      </c>
      <c r="W159" s="752">
        <f>+IFERROR(VLOOKUP($A159,'[4]SEGUIMIENTO CONTRATOS 2018'!$A:$AJ,13,0),0)</f>
        <v>48000000</v>
      </c>
      <c r="X159" s="698">
        <f>+IFERROR(VLOOKUP($A159,'[4]SEGUIMIENTO CONTRATOS 2018'!$A:$AJ,14,0),0)</f>
        <v>0</v>
      </c>
      <c r="Y159" s="752">
        <f>+IFERROR(VLOOKUP($A159,'[4]SEGUIMIENTO CONTRATOS 2018'!$A:$AJ,15,0),0)</f>
        <v>48000000</v>
      </c>
      <c r="Z159" s="752">
        <f>+IFERROR(VLOOKUP($A159,'[4]SEGUIMIENTO CONTRATOS 2018'!$A:$AJ,15,0),0)</f>
        <v>48000000</v>
      </c>
      <c r="AA159" s="698" t="str">
        <f>+IFERROR(VLOOKUP($A159,'[4]SEGUIMIENTO CONTRATOS 2018'!$A:$AJ,16,0)," ")</f>
        <v>Ocho (8) mensualidades vencidas, cada una por valor de SEIS MILLONES DE PESOS ($6´000.000) M/CTE.</v>
      </c>
      <c r="AB159" s="698" t="str">
        <f>+IFERROR(VLOOKUP($A159,'[4]SEGUIMIENTO CONTRATOS 2018'!$A:$AL,38,0)," ")</f>
        <v>10618</v>
      </c>
      <c r="AC159" s="698" t="str">
        <f>+IFERROR(VLOOKUP($A159,'[4]SEGUIMIENTO CONTRATOS 2018'!$A:$AJ,24,0)," ")</f>
        <v>Ocho (8) meses, contado a partir del perfeccionamiento del mismo y registro presupuestal.</v>
      </c>
      <c r="AD159" s="751">
        <f>+IFERROR(VLOOKUP($A159,'[4]SEGUIMIENTO CONTRATOS 2018'!$A:$AJ,25,0)," ")</f>
        <v>43126</v>
      </c>
      <c r="AE159" s="751">
        <f>+IFERROR(VLOOKUP($A159,'[4]SEGUIMIENTO CONTRATOS 2018'!$A:$AJ,26,0)," ")</f>
        <v>43368</v>
      </c>
      <c r="AF159" s="698" t="str">
        <f>+IFERROR(VLOOKUP($A159,'[4]SEGUIMIENTO CONTRATOS 2018'!$A:$AJ,30,0)," ")</f>
        <v>DIANA MARIA BOHORQUEZ LOSADA</v>
      </c>
      <c r="AG159" s="698" t="str">
        <f>+IFERROR(VLOOKUP($A159,'[4]SEGUIMIENTO CONTRATOS 2018'!$A:$AJ,31,0)," ")</f>
        <v>OFICINA ASESORA DE COMUNICACIONES</v>
      </c>
    </row>
    <row r="160" spans="1:33" ht="117" x14ac:dyDescent="0.25">
      <c r="A160" s="690">
        <f t="shared" si="6"/>
        <v>135</v>
      </c>
      <c r="B160" s="691" t="s">
        <v>540</v>
      </c>
      <c r="C160" s="692">
        <v>80101706</v>
      </c>
      <c r="D160" s="693" t="s">
        <v>541</v>
      </c>
      <c r="E160" s="691" t="s">
        <v>48</v>
      </c>
      <c r="F160" s="691">
        <v>1</v>
      </c>
      <c r="G160" s="694" t="s">
        <v>73</v>
      </c>
      <c r="H160" s="695">
        <v>8</v>
      </c>
      <c r="I160" s="691" t="s">
        <v>61</v>
      </c>
      <c r="J160" s="691" t="s">
        <v>66</v>
      </c>
      <c r="K160" s="691" t="s">
        <v>608</v>
      </c>
      <c r="L160" s="696">
        <v>37600000</v>
      </c>
      <c r="M160" s="697">
        <f t="shared" si="5"/>
        <v>37600000</v>
      </c>
      <c r="N160" s="691" t="s">
        <v>51</v>
      </c>
      <c r="O160" s="691" t="s">
        <v>36</v>
      </c>
      <c r="P160" s="691" t="s">
        <v>542</v>
      </c>
      <c r="Q160" s="80"/>
      <c r="R160" s="698" t="str">
        <f>+IFERROR(VLOOKUP($A160,'[4]SEGUIMIENTO CONTRATOS 2018'!$A:$AJ,2,0)," ")</f>
        <v>099-2018</v>
      </c>
      <c r="S160" s="698" t="str">
        <f>+IFERROR(VLOOKUP($A160,'[4]SEGUIMIENTO CONTRATOS 2018'!$A:$AJ,3,0)," ")</f>
        <v>NOHORA SUSANA BONILLA GUZMAN</v>
      </c>
      <c r="T160" s="751">
        <f>+IFERROR(VLOOKUP($A160,'[4]SEGUIMIENTO CONTRATOS 2018'!$A:$AJ,8,0)," ")</f>
        <v>43117</v>
      </c>
      <c r="U160" s="698" t="str">
        <f>+IFERROR(VLOOKUP($A160,'[4]SEGUIMIENTO CONTRATOS 2018'!$A:$AJ,9,0)," ")</f>
        <v>Prestar servicios profesionales en la Oficina Asesora de Comunicaciones, para apoyar el diseño y diagramación de documentos y publicaciones técnicas generadas por la entidad, en el marco de la Estrategia de Comunicaciones de Función Pública.</v>
      </c>
      <c r="V160" s="698" t="str">
        <f>+IFERROR(VLOOKUP($A160,'[4]SEGUIMIENTO CONTRATOS 2018'!$A:$AJ,11,0)," ")</f>
        <v>PRESTACION DE SERVICIOS PROFESIONALES</v>
      </c>
      <c r="W160" s="752">
        <f>+IFERROR(VLOOKUP($A160,'[4]SEGUIMIENTO CONTRATOS 2018'!$A:$AJ,13,0),0)</f>
        <v>37600000</v>
      </c>
      <c r="X160" s="698">
        <f>+IFERROR(VLOOKUP($A160,'[4]SEGUIMIENTO CONTRATOS 2018'!$A:$AJ,14,0),0)</f>
        <v>0</v>
      </c>
      <c r="Y160" s="752">
        <f>+IFERROR(VLOOKUP($A160,'[4]SEGUIMIENTO CONTRATOS 2018'!$A:$AJ,15,0),0)</f>
        <v>37600000</v>
      </c>
      <c r="Z160" s="752">
        <f>+IFERROR(VLOOKUP($A160,'[4]SEGUIMIENTO CONTRATOS 2018'!$A:$AJ,15,0),0)</f>
        <v>37600000</v>
      </c>
      <c r="AA160" s="698" t="str">
        <f>+IFERROR(VLOOKUP($A160,'[4]SEGUIMIENTO CONTRATOS 2018'!$A:$AJ,16,0)," ")</f>
        <v>Ocho (8) mensualidades vencidas, cada una por valor de CUATRO MILLONES SETECIENTOS MIL PESOS ($4´700.000) M/CTE.</v>
      </c>
      <c r="AB160" s="698" t="str">
        <f>+IFERROR(VLOOKUP($A160,'[4]SEGUIMIENTO CONTRATOS 2018'!$A:$AL,38,0)," ")</f>
        <v>10718</v>
      </c>
      <c r="AC160" s="698" t="str">
        <f>+IFERROR(VLOOKUP($A160,'[4]SEGUIMIENTO CONTRATOS 2018'!$A:$AJ,24,0)," ")</f>
        <v>Ocho (8) meses, contado a partir del perfeccionamiento del mismo y registro presupuestal.</v>
      </c>
      <c r="AD160" s="751">
        <f>+IFERROR(VLOOKUP($A160,'[4]SEGUIMIENTO CONTRATOS 2018'!$A:$AJ,25,0)," ")</f>
        <v>43119</v>
      </c>
      <c r="AE160" s="751">
        <f>+IFERROR(VLOOKUP($A160,'[4]SEGUIMIENTO CONTRATOS 2018'!$A:$AJ,26,0)," ")</f>
        <v>43361</v>
      </c>
      <c r="AF160" s="698" t="str">
        <f>+IFERROR(VLOOKUP($A160,'[4]SEGUIMIENTO CONTRATOS 2018'!$A:$AJ,30,0)," ")</f>
        <v>DIANA MARIA BOHORQUEZ LOSADA</v>
      </c>
      <c r="AG160" s="698" t="str">
        <f>+IFERROR(VLOOKUP($A160,'[4]SEGUIMIENTO CONTRATOS 2018'!$A:$AJ,31,0)," ")</f>
        <v>OFICINA ASESORA DE COMUNICACIONES</v>
      </c>
    </row>
    <row r="161" spans="1:33" ht="136.5" x14ac:dyDescent="0.25">
      <c r="A161" s="690">
        <f t="shared" si="6"/>
        <v>136</v>
      </c>
      <c r="B161" s="691" t="s">
        <v>609</v>
      </c>
      <c r="C161" s="692">
        <v>80101706</v>
      </c>
      <c r="D161" s="693" t="s">
        <v>610</v>
      </c>
      <c r="E161" s="691" t="s">
        <v>48</v>
      </c>
      <c r="F161" s="691">
        <v>1</v>
      </c>
      <c r="G161" s="694" t="s">
        <v>73</v>
      </c>
      <c r="H161" s="695">
        <v>8</v>
      </c>
      <c r="I161" s="691" t="s">
        <v>61</v>
      </c>
      <c r="J161" s="691" t="s">
        <v>66</v>
      </c>
      <c r="K161" s="691" t="s">
        <v>608</v>
      </c>
      <c r="L161" s="696">
        <v>74256000</v>
      </c>
      <c r="M161" s="697">
        <f t="shared" si="5"/>
        <v>74256000</v>
      </c>
      <c r="N161" s="691" t="s">
        <v>51</v>
      </c>
      <c r="O161" s="691" t="s">
        <v>36</v>
      </c>
      <c r="P161" s="691" t="s">
        <v>513</v>
      </c>
      <c r="Q161" s="80"/>
      <c r="R161" s="698" t="str">
        <f>+IFERROR(VLOOKUP($A161,'[4]SEGUIMIENTO CONTRATOS 2018'!$A:$AJ,2,0)," ")</f>
        <v>063-2018</v>
      </c>
      <c r="S161" s="698" t="str">
        <f>+IFERROR(VLOOKUP($A161,'[4]SEGUIMIENTO CONTRATOS 2018'!$A:$AJ,3,0)," ")</f>
        <v>DANIEL ASDRUBAL ROMERO GONZÁLEZ</v>
      </c>
      <c r="T161" s="751">
        <f>+IFERROR(VLOOKUP($A161,'[4]SEGUIMIENTO CONTRATOS 2018'!$A:$AJ,8,0)," ")</f>
        <v>43112</v>
      </c>
      <c r="U161" s="698" t="str">
        <f>+IFERROR(VLOOKUP($A161,'[4]SEGUIMIENTO CONTRATOS 2018'!$A:$AJ,9,0)," ")</f>
        <v>Prestar servicios profesionales en Función Pública para articular la operación y funcionamiento del Espacio Virtual de Asesoría (EVA), así como la definición y desarrollo de contenidos institucionales para su publicación en la intranet o en el portal web de la Entidad.</v>
      </c>
      <c r="V161" s="698" t="str">
        <f>+IFERROR(VLOOKUP($A161,'[4]SEGUIMIENTO CONTRATOS 2018'!$A:$AJ,11,0)," ")</f>
        <v>PRESTACION DE SERVICIOS PROFESIONALES</v>
      </c>
      <c r="W161" s="752">
        <f>+IFERROR(VLOOKUP($A161,'[4]SEGUIMIENTO CONTRATOS 2018'!$A:$AJ,13,0),0)</f>
        <v>74256000</v>
      </c>
      <c r="X161" s="698">
        <f>+IFERROR(VLOOKUP($A161,'[4]SEGUIMIENTO CONTRATOS 2018'!$A:$AJ,14,0),0)</f>
        <v>0</v>
      </c>
      <c r="Y161" s="752">
        <f>+IFERROR(VLOOKUP($A161,'[4]SEGUIMIENTO CONTRATOS 2018'!$A:$AJ,15,0),0)</f>
        <v>74256000</v>
      </c>
      <c r="Z161" s="752">
        <f>+IFERROR(VLOOKUP($A161,'[4]SEGUIMIENTO CONTRATOS 2018'!$A:$AJ,15,0),0)</f>
        <v>74256000</v>
      </c>
      <c r="AA161" s="698" t="str">
        <f>+IFERROR(VLOOKUP($A161,'[4]SEGUIMIENTO CONTRATOS 2018'!$A:$AJ,16,0)," ")</f>
        <v>Ocho (8) mensualidades vencidas, cada una por valor de NUEVE MILLONES DOCIENTOS OCHENTA Y DOS MIL PESOS ($9.282.000) M/CTE.</v>
      </c>
      <c r="AB161" s="698" t="str">
        <f>+IFERROR(VLOOKUP($A161,'[4]SEGUIMIENTO CONTRATOS 2018'!$A:$AL,38,0)," ")</f>
        <v>10818</v>
      </c>
      <c r="AC161" s="698" t="str">
        <f>+IFERROR(VLOOKUP($A161,'[4]SEGUIMIENTO CONTRATOS 2018'!$A:$AJ,24,0)," ")</f>
        <v>Ocho (08) meses, contado a partir del perfeccionamiento del mismo y registro presupuestal.</v>
      </c>
      <c r="AD161" s="751">
        <f>+IFERROR(VLOOKUP($A161,'[4]SEGUIMIENTO CONTRATOS 2018'!$A:$AJ,25,0)," ")</f>
        <v>43116</v>
      </c>
      <c r="AE161" s="751">
        <f>+IFERROR(VLOOKUP($A161,'[4]SEGUIMIENTO CONTRATOS 2018'!$A:$AJ,26,0)," ")</f>
        <v>43358</v>
      </c>
      <c r="AF161" s="698" t="str">
        <f>+IFERROR(VLOOKUP($A161,'[4]SEGUIMIENTO CONTRATOS 2018'!$A:$AJ,30,0)," ")</f>
        <v xml:space="preserve">NATALIA ASTRID CARDONA RAMIREZ </v>
      </c>
      <c r="AG161" s="698" t="str">
        <f>+IFERROR(VLOOKUP($A161,'[4]SEGUIMIENTO CONTRATOS 2018'!$A:$AJ,31,0)," ")</f>
        <v>SECRETARIA GENERAL</v>
      </c>
    </row>
    <row r="162" spans="1:33" ht="117" x14ac:dyDescent="0.25">
      <c r="A162" s="690">
        <f t="shared" si="6"/>
        <v>137</v>
      </c>
      <c r="B162" s="691" t="s">
        <v>517</v>
      </c>
      <c r="C162" s="692">
        <v>80101706</v>
      </c>
      <c r="D162" s="693" t="s">
        <v>518</v>
      </c>
      <c r="E162" s="691" t="s">
        <v>48</v>
      </c>
      <c r="F162" s="691">
        <v>1</v>
      </c>
      <c r="G162" s="694" t="s">
        <v>73</v>
      </c>
      <c r="H162" s="695">
        <v>8</v>
      </c>
      <c r="I162" s="691" t="s">
        <v>61</v>
      </c>
      <c r="J162" s="691" t="s">
        <v>66</v>
      </c>
      <c r="K162" s="691" t="s">
        <v>608</v>
      </c>
      <c r="L162" s="696">
        <v>41848000</v>
      </c>
      <c r="M162" s="697">
        <f t="shared" si="5"/>
        <v>41848000</v>
      </c>
      <c r="N162" s="691" t="s">
        <v>51</v>
      </c>
      <c r="O162" s="691" t="s">
        <v>36</v>
      </c>
      <c r="P162" s="691" t="s">
        <v>519</v>
      </c>
      <c r="Q162" s="80"/>
      <c r="R162" s="698" t="str">
        <f>+IFERROR(VLOOKUP($A162,'[4]SEGUIMIENTO CONTRATOS 2018'!$A:$AJ,2,0)," ")</f>
        <v>102-2018</v>
      </c>
      <c r="S162" s="698" t="str">
        <f>+IFERROR(VLOOKUP($A162,'[4]SEGUIMIENTO CONTRATOS 2018'!$A:$AJ,3,0)," ")</f>
        <v>JORGE MARIO SIMANCAS CARDONA</v>
      </c>
      <c r="T162" s="751">
        <f>+IFERROR(VLOOKUP($A162,'[4]SEGUIMIENTO CONTRATOS 2018'!$A:$AJ,8,0)," ")</f>
        <v>43117</v>
      </c>
      <c r="U162" s="698" t="str">
        <f>+IFERROR(VLOOKUP($A162,'[4]SEGUIMIENTO CONTRATOS 2018'!$A:$AJ,9,0)," ")</f>
        <v xml:space="preserve">Prestar servicios profesionales en el Grupo de Servicio al Ciudadano Institucional de Función Pública para apoyar jurídicamente el fortalecimiento del primer nivel de servicio en materia de atención a peticiones, quejas, reclamos y sugerencias. </v>
      </c>
      <c r="V162" s="698" t="str">
        <f>+IFERROR(VLOOKUP($A162,'[4]SEGUIMIENTO CONTRATOS 2018'!$A:$AJ,11,0)," ")</f>
        <v>PRESTACION DE SERVICIOS PROFESIONALES</v>
      </c>
      <c r="W162" s="752">
        <f>+IFERROR(VLOOKUP($A162,'[4]SEGUIMIENTO CONTRATOS 2018'!$A:$AJ,13,0),0)</f>
        <v>41848000</v>
      </c>
      <c r="X162" s="698">
        <f>+IFERROR(VLOOKUP($A162,'[4]SEGUIMIENTO CONTRATOS 2018'!$A:$AJ,14,0),0)</f>
        <v>0</v>
      </c>
      <c r="Y162" s="752">
        <f>+IFERROR(VLOOKUP($A162,'[4]SEGUIMIENTO CONTRATOS 2018'!$A:$AJ,15,0),0)</f>
        <v>41848000</v>
      </c>
      <c r="Z162" s="752">
        <f>+IFERROR(VLOOKUP($A162,'[4]SEGUIMIENTO CONTRATOS 2018'!$A:$AJ,15,0),0)</f>
        <v>41848000</v>
      </c>
      <c r="AA162" s="698" t="str">
        <f>+IFERROR(VLOOKUP($A162,'[4]SEGUIMIENTO CONTRATOS 2018'!$A:$AJ,16,0)," ")</f>
        <v>Ocho (8) mensualidades vencidas, cada una por valor de CINCO MILLONES DOSCIENTOS TREINTA Y UN MIL PESOS ($5.231.000) M/CTE</v>
      </c>
      <c r="AB162" s="698" t="str">
        <f>+IFERROR(VLOOKUP($A162,'[4]SEGUIMIENTO CONTRATOS 2018'!$A:$AL,38,0)," ")</f>
        <v>10918</v>
      </c>
      <c r="AC162" s="698" t="str">
        <f>+IFERROR(VLOOKUP($A162,'[4]SEGUIMIENTO CONTRATOS 2018'!$A:$AJ,24,0)," ")</f>
        <v>Ocho (8) meses, contado a partir del perfeccionamiento del mismo y registro presupuestal.</v>
      </c>
      <c r="AD162" s="751">
        <f>+IFERROR(VLOOKUP($A162,'[4]SEGUIMIENTO CONTRATOS 2018'!$A:$AJ,25,0)," ")</f>
        <v>43117</v>
      </c>
      <c r="AE162" s="751">
        <f>+IFERROR(VLOOKUP($A162,'[4]SEGUIMIENTO CONTRATOS 2018'!$A:$AJ,26,0)," ")</f>
        <v>43359</v>
      </c>
      <c r="AF162" s="698" t="str">
        <f>+IFERROR(VLOOKUP($A162,'[4]SEGUIMIENTO CONTRATOS 2018'!$A:$AJ,30,0)," ")</f>
        <v>JAIME HUMBERTO JIMENEZ VERGEL</v>
      </c>
      <c r="AG162" s="698" t="str">
        <f>+IFERROR(VLOOKUP($A162,'[4]SEGUIMIENTO CONTRATOS 2018'!$A:$AJ,31,0)," ")</f>
        <v>GRUPO DE SERVICIO AL CIUDADANO INSTITUCIONAL</v>
      </c>
    </row>
    <row r="163" spans="1:33" ht="117" x14ac:dyDescent="0.25">
      <c r="A163" s="690">
        <f t="shared" si="6"/>
        <v>138</v>
      </c>
      <c r="B163" s="691" t="s">
        <v>517</v>
      </c>
      <c r="C163" s="692">
        <v>80101706</v>
      </c>
      <c r="D163" s="693" t="s">
        <v>518</v>
      </c>
      <c r="E163" s="691" t="s">
        <v>48</v>
      </c>
      <c r="F163" s="691">
        <v>1</v>
      </c>
      <c r="G163" s="694" t="s">
        <v>73</v>
      </c>
      <c r="H163" s="695">
        <v>8</v>
      </c>
      <c r="I163" s="691" t="s">
        <v>61</v>
      </c>
      <c r="J163" s="691" t="s">
        <v>66</v>
      </c>
      <c r="K163" s="691" t="s">
        <v>608</v>
      </c>
      <c r="L163" s="696">
        <v>41848000</v>
      </c>
      <c r="M163" s="697">
        <f t="shared" si="5"/>
        <v>41848000</v>
      </c>
      <c r="N163" s="691" t="s">
        <v>51</v>
      </c>
      <c r="O163" s="691" t="s">
        <v>36</v>
      </c>
      <c r="P163" s="691" t="s">
        <v>519</v>
      </c>
      <c r="Q163" s="80"/>
      <c r="R163" s="698" t="str">
        <f>+IFERROR(VLOOKUP($A163,'[4]SEGUIMIENTO CONTRATOS 2018'!$A:$AJ,2,0)," ")</f>
        <v>066-2018</v>
      </c>
      <c r="S163" s="698" t="str">
        <f>+IFERROR(VLOOKUP($A163,'[4]SEGUIMIENTO CONTRATOS 2018'!$A:$AJ,3,0)," ")</f>
        <v>ANDREA CAROLINA VELANDIA DURAN</v>
      </c>
      <c r="T163" s="751">
        <f>+IFERROR(VLOOKUP($A163,'[4]SEGUIMIENTO CONTRATOS 2018'!$A:$AJ,8,0)," ")</f>
        <v>43112</v>
      </c>
      <c r="U163" s="698" t="str">
        <f>+IFERROR(VLOOKUP($A163,'[4]SEGUIMIENTO CONTRATOS 2018'!$A:$AJ,9,0)," ")</f>
        <v xml:space="preserve">Prestar servicios profesionales en el Grupo de Servicio al Ciudadano Institucional de Función Pública para apoyar jurídicamente el fortalecimiento del primer nivel de servicio en materia de atención a peticiones, quejas, reclamos y sugerencias. </v>
      </c>
      <c r="V163" s="698" t="str">
        <f>+IFERROR(VLOOKUP($A163,'[4]SEGUIMIENTO CONTRATOS 2018'!$A:$AJ,11,0)," ")</f>
        <v>PRESTACION DE SERVICIOS PROFESIONALES</v>
      </c>
      <c r="W163" s="752">
        <f>+IFERROR(VLOOKUP($A163,'[4]SEGUIMIENTO CONTRATOS 2018'!$A:$AJ,13,0),0)</f>
        <v>41848000</v>
      </c>
      <c r="X163" s="698">
        <f>+IFERROR(VLOOKUP($A163,'[4]SEGUIMIENTO CONTRATOS 2018'!$A:$AJ,14,0),0)</f>
        <v>0</v>
      </c>
      <c r="Y163" s="752">
        <f>+IFERROR(VLOOKUP($A163,'[4]SEGUIMIENTO CONTRATOS 2018'!$A:$AJ,15,0),0)</f>
        <v>41848000</v>
      </c>
      <c r="Z163" s="752">
        <f>+IFERROR(VLOOKUP($A163,'[4]SEGUIMIENTO CONTRATOS 2018'!$A:$AJ,15,0),0)</f>
        <v>41848000</v>
      </c>
      <c r="AA163" s="698" t="str">
        <f>+IFERROR(VLOOKUP($A163,'[4]SEGUIMIENTO CONTRATOS 2018'!$A:$AJ,16,0)," ")</f>
        <v xml:space="preserve">Ocho (8) mensualidades vencidas, cada una por valor de CINCO MILLONES DOSCIENTOS TREINTA Y UN MIL PESOS ($5.231.000) M/CTE </v>
      </c>
      <c r="AB163" s="698" t="str">
        <f>+IFERROR(VLOOKUP($A163,'[4]SEGUIMIENTO CONTRATOS 2018'!$A:$AL,38,0)," ")</f>
        <v>11018</v>
      </c>
      <c r="AC163" s="698" t="str">
        <f>+IFERROR(VLOOKUP($A163,'[4]SEGUIMIENTO CONTRATOS 2018'!$A:$AJ,24,0)," ")</f>
        <v>Ocho (08) meses, contado a partir del perfeccionamiento del mismo y registro presupuestal.</v>
      </c>
      <c r="AD163" s="751">
        <f>+IFERROR(VLOOKUP($A163,'[4]SEGUIMIENTO CONTRATOS 2018'!$A:$AJ,25,0)," ")</f>
        <v>43116</v>
      </c>
      <c r="AE163" s="751">
        <f>+IFERROR(VLOOKUP($A163,'[4]SEGUIMIENTO CONTRATOS 2018'!$A:$AJ,26,0)," ")</f>
        <v>43358</v>
      </c>
      <c r="AF163" s="698" t="str">
        <f>+IFERROR(VLOOKUP($A163,'[4]SEGUIMIENTO CONTRATOS 2018'!$A:$AJ,30,0)," ")</f>
        <v>JAIME HUMBERTO JIMENEZ VERGEL</v>
      </c>
      <c r="AG163" s="698" t="str">
        <f>+IFERROR(VLOOKUP($A163,'[4]SEGUIMIENTO CONTRATOS 2018'!$A:$AJ,31,0)," ")</f>
        <v>GRUPO DE SERVICIO AL CIUDADANO INSTITUCIONAL</v>
      </c>
    </row>
    <row r="164" spans="1:33" ht="97.5" x14ac:dyDescent="0.25">
      <c r="A164" s="690">
        <f t="shared" si="6"/>
        <v>139</v>
      </c>
      <c r="B164" s="691" t="s">
        <v>517</v>
      </c>
      <c r="C164" s="692">
        <v>80101706</v>
      </c>
      <c r="D164" s="693" t="s">
        <v>518</v>
      </c>
      <c r="E164" s="691" t="s">
        <v>48</v>
      </c>
      <c r="F164" s="691">
        <v>1</v>
      </c>
      <c r="G164" s="694" t="s">
        <v>73</v>
      </c>
      <c r="H164" s="695">
        <v>8</v>
      </c>
      <c r="I164" s="691" t="s">
        <v>61</v>
      </c>
      <c r="J164" s="691" t="s">
        <v>66</v>
      </c>
      <c r="K164" s="691" t="s">
        <v>608</v>
      </c>
      <c r="L164" s="696">
        <v>31160000</v>
      </c>
      <c r="M164" s="697">
        <f t="shared" si="5"/>
        <v>31160000</v>
      </c>
      <c r="N164" s="691" t="s">
        <v>51</v>
      </c>
      <c r="O164" s="691" t="s">
        <v>36</v>
      </c>
      <c r="P164" s="691" t="s">
        <v>519</v>
      </c>
      <c r="Q164" s="80"/>
      <c r="R164" s="698" t="str">
        <f>+IFERROR(VLOOKUP($A164,'[4]SEGUIMIENTO CONTRATOS 2018'!$A:$AJ,2,0)," ")</f>
        <v>080-2018</v>
      </c>
      <c r="S164" s="698" t="str">
        <f>+IFERROR(VLOOKUP($A164,'[4]SEGUIMIENTO CONTRATOS 2018'!$A:$AJ,3,0)," ")</f>
        <v>JUAN PABLO ROJAS MESA</v>
      </c>
      <c r="T164" s="751">
        <f>+IFERROR(VLOOKUP($A164,'[4]SEGUIMIENTO CONTRATOS 2018'!$A:$AJ,8,0)," ")</f>
        <v>43115</v>
      </c>
      <c r="U164" s="698" t="str">
        <f>+IFERROR(VLOOKUP($A164,'[4]SEGUIMIENTO CONTRATOS 2018'!$A:$AJ,9,0)," ")</f>
        <v>Prestar servicios profesionales en el Grupo de Servicio al Ciudadano Institucional de Función Pública para apoyar la atención a los grupos de valor en el primer nivel de servicio de la Entidad.</v>
      </c>
      <c r="V164" s="698" t="str">
        <f>+IFERROR(VLOOKUP($A164,'[4]SEGUIMIENTO CONTRATOS 2018'!$A:$AJ,11,0)," ")</f>
        <v>PRESTACION DE SERVICIOS PROFESIONALES</v>
      </c>
      <c r="W164" s="752">
        <f>+IFERROR(VLOOKUP($A164,'[4]SEGUIMIENTO CONTRATOS 2018'!$A:$AJ,13,0),0)</f>
        <v>31160000</v>
      </c>
      <c r="X164" s="698">
        <f>+IFERROR(VLOOKUP($A164,'[4]SEGUIMIENTO CONTRATOS 2018'!$A:$AJ,14,0),0)</f>
        <v>0</v>
      </c>
      <c r="Y164" s="752">
        <f>+IFERROR(VLOOKUP($A164,'[4]SEGUIMIENTO CONTRATOS 2018'!$A:$AJ,15,0),0)</f>
        <v>31160000</v>
      </c>
      <c r="Z164" s="752">
        <f>+IFERROR(VLOOKUP($A164,'[4]SEGUIMIENTO CONTRATOS 2018'!$A:$AJ,15,0),0)</f>
        <v>31160000</v>
      </c>
      <c r="AA164" s="698" t="str">
        <f>+IFERROR(VLOOKUP($A164,'[4]SEGUIMIENTO CONTRATOS 2018'!$A:$AJ,16,0)," ")</f>
        <v>Ocho (8) mensualidades vencidas, cada una por valor de TRES MILLONES OCHOCIENTOS NOVENTA Y CINCO MIL PESOS ($3.895.000) M/CTE</v>
      </c>
      <c r="AB164" s="698" t="str">
        <f>+IFERROR(VLOOKUP($A164,'[4]SEGUIMIENTO CONTRATOS 2018'!$A:$AL,38,0)," ")</f>
        <v>11118</v>
      </c>
      <c r="AC164" s="698" t="str">
        <f>+IFERROR(VLOOKUP($A164,'[4]SEGUIMIENTO CONTRATOS 2018'!$A:$AJ,24,0)," ")</f>
        <v>Ocho (8) meses, contados a partir del perfeccionamiento del mismo y registro presupuestal.</v>
      </c>
      <c r="AD164" s="751">
        <f>+IFERROR(VLOOKUP($A164,'[4]SEGUIMIENTO CONTRATOS 2018'!$A:$AJ,25,0)," ")</f>
        <v>43117</v>
      </c>
      <c r="AE164" s="751">
        <f>+IFERROR(VLOOKUP($A164,'[4]SEGUIMIENTO CONTRATOS 2018'!$A:$AJ,26,0)," ")</f>
        <v>43359</v>
      </c>
      <c r="AF164" s="698" t="str">
        <f>+IFERROR(VLOOKUP($A164,'[4]SEGUIMIENTO CONTRATOS 2018'!$A:$AJ,30,0)," ")</f>
        <v>JAIME HUMBERTO JIMENEZ VERGEL</v>
      </c>
      <c r="AG164" s="698" t="str">
        <f>+IFERROR(VLOOKUP($A164,'[4]SEGUIMIENTO CONTRATOS 2018'!$A:$AJ,31,0)," ")</f>
        <v>GRUPO DE SERVICIO AL CIUDADANO INSTITUCIONAL</v>
      </c>
    </row>
    <row r="165" spans="1:33" ht="97.5" x14ac:dyDescent="0.25">
      <c r="A165" s="690">
        <f t="shared" si="6"/>
        <v>140</v>
      </c>
      <c r="B165" s="691" t="s">
        <v>517</v>
      </c>
      <c r="C165" s="692">
        <v>80101706</v>
      </c>
      <c r="D165" s="693" t="s">
        <v>518</v>
      </c>
      <c r="E165" s="691" t="s">
        <v>48</v>
      </c>
      <c r="F165" s="691">
        <v>1</v>
      </c>
      <c r="G165" s="694" t="s">
        <v>73</v>
      </c>
      <c r="H165" s="695">
        <v>8</v>
      </c>
      <c r="I165" s="691" t="s">
        <v>61</v>
      </c>
      <c r="J165" s="691" t="s">
        <v>66</v>
      </c>
      <c r="K165" s="691" t="s">
        <v>608</v>
      </c>
      <c r="L165" s="696">
        <v>31160000</v>
      </c>
      <c r="M165" s="697">
        <f t="shared" si="5"/>
        <v>31160000</v>
      </c>
      <c r="N165" s="691" t="s">
        <v>51</v>
      </c>
      <c r="O165" s="691" t="s">
        <v>36</v>
      </c>
      <c r="P165" s="691" t="s">
        <v>519</v>
      </c>
      <c r="Q165" s="80"/>
      <c r="R165" s="698" t="str">
        <f>+IFERROR(VLOOKUP($A165,'[4]SEGUIMIENTO CONTRATOS 2018'!$A:$AJ,2,0)," ")</f>
        <v>078-2018</v>
      </c>
      <c r="S165" s="698" t="str">
        <f>+IFERROR(VLOOKUP($A165,'[4]SEGUIMIENTO CONTRATOS 2018'!$A:$AJ,3,0)," ")</f>
        <v>YENNY STELLA CHACÓN SANTAMARIA</v>
      </c>
      <c r="T165" s="751">
        <f>+IFERROR(VLOOKUP($A165,'[4]SEGUIMIENTO CONTRATOS 2018'!$A:$AJ,8,0)," ")</f>
        <v>43115</v>
      </c>
      <c r="U165" s="698" t="str">
        <f>+IFERROR(VLOOKUP($A165,'[4]SEGUIMIENTO CONTRATOS 2018'!$A:$AJ,9,0)," ")</f>
        <v>Prestar servicios profesionales en el Grupo de Servicio al Ciudadano Institucional de Función Pública para apoyar la atención a los grupos de valor en el primer nivel de servicio de la Entidad.</v>
      </c>
      <c r="V165" s="698" t="str">
        <f>+IFERROR(VLOOKUP($A165,'[4]SEGUIMIENTO CONTRATOS 2018'!$A:$AJ,11,0)," ")</f>
        <v>PRESTACION DE SERVICIOS PROFESIONALES</v>
      </c>
      <c r="W165" s="752">
        <f>+IFERROR(VLOOKUP($A165,'[4]SEGUIMIENTO CONTRATOS 2018'!$A:$AJ,13,0),0)</f>
        <v>31160000</v>
      </c>
      <c r="X165" s="698">
        <f>+IFERROR(VLOOKUP($A165,'[4]SEGUIMIENTO CONTRATOS 2018'!$A:$AJ,14,0),0)</f>
        <v>0</v>
      </c>
      <c r="Y165" s="752">
        <f>+IFERROR(VLOOKUP($A165,'[4]SEGUIMIENTO CONTRATOS 2018'!$A:$AJ,15,0),0)</f>
        <v>31160000</v>
      </c>
      <c r="Z165" s="752">
        <f>+IFERROR(VLOOKUP($A165,'[4]SEGUIMIENTO CONTRATOS 2018'!$A:$AJ,15,0),0)</f>
        <v>31160000</v>
      </c>
      <c r="AA165" s="698" t="str">
        <f>+IFERROR(VLOOKUP($A165,'[4]SEGUIMIENTO CONTRATOS 2018'!$A:$AJ,16,0)," ")</f>
        <v>Ocho (8) mensualidades vencidas, cada una por valor de TRES MILLONES OCHOCIENTOS NOVENTA Y CINCO MIL PESOS ($3.895.000) M/CTE</v>
      </c>
      <c r="AB165" s="698" t="str">
        <f>+IFERROR(VLOOKUP($A165,'[4]SEGUIMIENTO CONTRATOS 2018'!$A:$AL,38,0)," ")</f>
        <v xml:space="preserve">1218 </v>
      </c>
      <c r="AC165" s="698" t="str">
        <f>+IFERROR(VLOOKUP($A165,'[4]SEGUIMIENTO CONTRATOS 2018'!$A:$AJ,24,0)," ")</f>
        <v>Ocho (8) meses, contados a partir del perfeccionamiento del mismo y registro presupuestal.</v>
      </c>
      <c r="AD165" s="751">
        <f>+IFERROR(VLOOKUP($A165,'[4]SEGUIMIENTO CONTRATOS 2018'!$A:$AJ,25,0)," ")</f>
        <v>43116</v>
      </c>
      <c r="AE165" s="751">
        <f>+IFERROR(VLOOKUP($A165,'[4]SEGUIMIENTO CONTRATOS 2018'!$A:$AJ,26,0)," ")</f>
        <v>43358</v>
      </c>
      <c r="AF165" s="698" t="str">
        <f>+IFERROR(VLOOKUP($A165,'[4]SEGUIMIENTO CONTRATOS 2018'!$A:$AJ,30,0)," ")</f>
        <v>JAIME HUMBERTO JIMENEZ VERGEL</v>
      </c>
      <c r="AG165" s="698" t="str">
        <f>+IFERROR(VLOOKUP($A165,'[4]SEGUIMIENTO CONTRATOS 2018'!$A:$AJ,31,0)," ")</f>
        <v>GRUPO DE SERVICIO AL CIUDADANO INSTITUCIONAL</v>
      </c>
    </row>
    <row r="166" spans="1:33" ht="97.5" x14ac:dyDescent="0.25">
      <c r="A166" s="690">
        <f t="shared" si="6"/>
        <v>141</v>
      </c>
      <c r="B166" s="691" t="s">
        <v>517</v>
      </c>
      <c r="C166" s="692">
        <v>80101706</v>
      </c>
      <c r="D166" s="693" t="s">
        <v>518</v>
      </c>
      <c r="E166" s="691" t="s">
        <v>48</v>
      </c>
      <c r="F166" s="691">
        <v>1</v>
      </c>
      <c r="G166" s="694" t="s">
        <v>73</v>
      </c>
      <c r="H166" s="695">
        <v>8</v>
      </c>
      <c r="I166" s="691" t="s">
        <v>61</v>
      </c>
      <c r="J166" s="691" t="s">
        <v>66</v>
      </c>
      <c r="K166" s="691" t="s">
        <v>608</v>
      </c>
      <c r="L166" s="696">
        <v>31160000</v>
      </c>
      <c r="M166" s="697">
        <f t="shared" si="5"/>
        <v>31160000</v>
      </c>
      <c r="N166" s="691" t="s">
        <v>51</v>
      </c>
      <c r="O166" s="691" t="s">
        <v>36</v>
      </c>
      <c r="P166" s="691" t="s">
        <v>519</v>
      </c>
      <c r="Q166" s="80"/>
      <c r="R166" s="698" t="str">
        <f>+IFERROR(VLOOKUP($A166,'[4]SEGUIMIENTO CONTRATOS 2018'!$A:$AJ,2,0)," ")</f>
        <v>096-2018</v>
      </c>
      <c r="S166" s="698" t="str">
        <f>+IFERROR(VLOOKUP($A166,'[4]SEGUIMIENTO CONTRATOS 2018'!$A:$AJ,3,0)," ")</f>
        <v>BEATRIZ HELENA HERNADEZ VARGAS</v>
      </c>
      <c r="T166" s="751">
        <f>+IFERROR(VLOOKUP($A166,'[4]SEGUIMIENTO CONTRATOS 2018'!$A:$AJ,8,0)," ")</f>
        <v>43117</v>
      </c>
      <c r="U166" s="698" t="str">
        <f>+IFERROR(VLOOKUP($A166,'[4]SEGUIMIENTO CONTRATOS 2018'!$A:$AJ,9,0)," ")</f>
        <v>Prestar servicios profesionales en el Grupo de Servicio al Ciudadano Institucional de Función Pública para apoyar la atención a los grupos de valor en el primer nivel de servicio de la Entidad.</v>
      </c>
      <c r="V166" s="698" t="str">
        <f>+IFERROR(VLOOKUP($A166,'[4]SEGUIMIENTO CONTRATOS 2018'!$A:$AJ,11,0)," ")</f>
        <v>PRESTACION DE SERVICIOS PROFESIONALES</v>
      </c>
      <c r="W166" s="752">
        <f>+IFERROR(VLOOKUP($A166,'[4]SEGUIMIENTO CONTRATOS 2018'!$A:$AJ,13,0),0)</f>
        <v>31160000</v>
      </c>
      <c r="X166" s="698">
        <f>+IFERROR(VLOOKUP($A166,'[4]SEGUIMIENTO CONTRATOS 2018'!$A:$AJ,14,0),0)</f>
        <v>0</v>
      </c>
      <c r="Y166" s="752">
        <f>+IFERROR(VLOOKUP($A166,'[4]SEGUIMIENTO CONTRATOS 2018'!$A:$AJ,15,0),0)</f>
        <v>31160000</v>
      </c>
      <c r="Z166" s="752">
        <f>+IFERROR(VLOOKUP($A166,'[4]SEGUIMIENTO CONTRATOS 2018'!$A:$AJ,15,0),0)</f>
        <v>31160000</v>
      </c>
      <c r="AA166" s="698" t="str">
        <f>+IFERROR(VLOOKUP($A166,'[4]SEGUIMIENTO CONTRATOS 2018'!$A:$AJ,16,0)," ")</f>
        <v>Ocho (8) mensualidades vencidas, cada una por valor de TRES MILLONES OCHOCIENTOS NOVENTA Y CINCO MIL PESOS ($3.895.000) M/CTE</v>
      </c>
      <c r="AB166" s="698" t="str">
        <f>+IFERROR(VLOOKUP($A166,'[4]SEGUIMIENTO CONTRATOS 2018'!$A:$AL,38,0)," ")</f>
        <v>11318</v>
      </c>
      <c r="AC166" s="698" t="str">
        <f>+IFERROR(VLOOKUP($A166,'[4]SEGUIMIENTO CONTRATOS 2018'!$A:$AJ,24,0)," ")</f>
        <v>Ocho (8) meses, contado a partir del perfeccionamiento del mismo y registro presupuestal.</v>
      </c>
      <c r="AD166" s="751">
        <f>+IFERROR(VLOOKUP($A166,'[4]SEGUIMIENTO CONTRATOS 2018'!$A:$AJ,25,0)," ")</f>
        <v>43118</v>
      </c>
      <c r="AE166" s="751">
        <f>+IFERROR(VLOOKUP($A166,'[4]SEGUIMIENTO CONTRATOS 2018'!$A:$AJ,26,0)," ")</f>
        <v>43360</v>
      </c>
      <c r="AF166" s="698" t="str">
        <f>+IFERROR(VLOOKUP($A166,'[4]SEGUIMIENTO CONTRATOS 2018'!$A:$AJ,30,0)," ")</f>
        <v>JAIME HUMBERTO JIMENEZ VERGEL</v>
      </c>
      <c r="AG166" s="698" t="str">
        <f>+IFERROR(VLOOKUP($A166,'[4]SEGUIMIENTO CONTRATOS 2018'!$A:$AJ,31,0)," ")</f>
        <v>GRUPO DE SERVICIO AL CIUDADANO INSTITUCIONAL</v>
      </c>
    </row>
    <row r="167" spans="1:33" ht="117" x14ac:dyDescent="0.25">
      <c r="A167" s="690">
        <f t="shared" si="6"/>
        <v>142</v>
      </c>
      <c r="B167" s="691" t="s">
        <v>611</v>
      </c>
      <c r="C167" s="692">
        <v>80101706</v>
      </c>
      <c r="D167" s="693" t="s">
        <v>612</v>
      </c>
      <c r="E167" s="691" t="s">
        <v>48</v>
      </c>
      <c r="F167" s="691">
        <v>1</v>
      </c>
      <c r="G167" s="694" t="s">
        <v>73</v>
      </c>
      <c r="H167" s="695">
        <v>8</v>
      </c>
      <c r="I167" s="691" t="s">
        <v>61</v>
      </c>
      <c r="J167" s="691" t="s">
        <v>66</v>
      </c>
      <c r="K167" s="691" t="s">
        <v>608</v>
      </c>
      <c r="L167" s="696">
        <v>40000000</v>
      </c>
      <c r="M167" s="697">
        <f t="shared" si="5"/>
        <v>40000000</v>
      </c>
      <c r="N167" s="691" t="s">
        <v>51</v>
      </c>
      <c r="O167" s="691" t="s">
        <v>36</v>
      </c>
      <c r="P167" s="691" t="s">
        <v>319</v>
      </c>
      <c r="Q167" s="80"/>
      <c r="R167" s="698" t="str">
        <f>+IFERROR(VLOOKUP($A167,'[4]SEGUIMIENTO CONTRATOS 2018'!$A:$AJ,2,0)," ")</f>
        <v>123-2018</v>
      </c>
      <c r="S167" s="698" t="str">
        <f>+IFERROR(VLOOKUP($A167,'[4]SEGUIMIENTO CONTRATOS 2018'!$A:$AJ,3,0)," ")</f>
        <v>DANIEL JOSE ORTIZ RIVERA</v>
      </c>
      <c r="T167" s="751">
        <f>+IFERROR(VLOOKUP($A167,'[4]SEGUIMIENTO CONTRATOS 2018'!$A:$AJ,8,0)," ")</f>
        <v>43119</v>
      </c>
      <c r="U167" s="698" t="str">
        <f>+IFERROR(VLOOKUP($A167,'[4]SEGUIMIENTO CONTRATOS 2018'!$A:$AJ,9,0)," ")</f>
        <v>Prestar servicios profesionales en el Grupo de Gestión Humana de Función Pública, para apoyar la implementación de un proceso de cambio de la cultura organizacional, basado en la apropación del Código de Integridad para los servidores públicos.</v>
      </c>
      <c r="V167" s="698" t="str">
        <f>+IFERROR(VLOOKUP($A167,'[4]SEGUIMIENTO CONTRATOS 2018'!$A:$AJ,11,0)," ")</f>
        <v>PRESTACION DE SERVICIOS PROFESIONALES</v>
      </c>
      <c r="W167" s="752">
        <f>+IFERROR(VLOOKUP($A167,'[4]SEGUIMIENTO CONTRATOS 2018'!$A:$AJ,13,0),0)</f>
        <v>40000000</v>
      </c>
      <c r="X167" s="698">
        <f>+IFERROR(VLOOKUP($A167,'[4]SEGUIMIENTO CONTRATOS 2018'!$A:$AJ,14,0),0)</f>
        <v>0</v>
      </c>
      <c r="Y167" s="752">
        <f>+IFERROR(VLOOKUP($A167,'[4]SEGUIMIENTO CONTRATOS 2018'!$A:$AJ,15,0),0)</f>
        <v>40000000</v>
      </c>
      <c r="Z167" s="752">
        <f>+IFERROR(VLOOKUP($A167,'[4]SEGUIMIENTO CONTRATOS 2018'!$A:$AJ,15,0),0)</f>
        <v>40000000</v>
      </c>
      <c r="AA167" s="698" t="str">
        <f>+IFERROR(VLOOKUP($A167,'[4]SEGUIMIENTO CONTRATOS 2018'!$A:$AJ,16,0)," ")</f>
        <v>Ocho (8) mensualidades vencidas, cada una por valor de CINCO MILLONES DE PESOS ($5.000.000) M/CTE</v>
      </c>
      <c r="AB167" s="698" t="str">
        <f>+IFERROR(VLOOKUP($A167,'[4]SEGUIMIENTO CONTRATOS 2018'!$A:$AL,38,0)," ")</f>
        <v>11418</v>
      </c>
      <c r="AC167" s="698" t="str">
        <f>+IFERROR(VLOOKUP($A167,'[4]SEGUIMIENTO CONTRATOS 2018'!$A:$AJ,24,0)," ")</f>
        <v>Ocho (8) meses, contado a partir del perfeccionamiento del mismo y registro presupuestal.</v>
      </c>
      <c r="AD167" s="751">
        <f>+IFERROR(VLOOKUP($A167,'[4]SEGUIMIENTO CONTRATOS 2018'!$A:$AJ,25,0)," ")</f>
        <v>43123</v>
      </c>
      <c r="AE167" s="751">
        <f>+IFERROR(VLOOKUP($A167,'[4]SEGUIMIENTO CONTRATOS 2018'!$A:$AJ,26,0)," ")</f>
        <v>43365</v>
      </c>
      <c r="AF167" s="698" t="str">
        <f>+IFERROR(VLOOKUP($A167,'[4]SEGUIMIENTO CONTRATOS 2018'!$A:$AJ,30,0)," ")</f>
        <v>LUZ MARY RIAÑO CAMARGO</v>
      </c>
      <c r="AG167" s="698" t="str">
        <f>+IFERROR(VLOOKUP($A167,'[4]SEGUIMIENTO CONTRATOS 2018'!$A:$AJ,31,0)," ")</f>
        <v>GRUPO DE GESTION HUMANA</v>
      </c>
    </row>
    <row r="168" spans="1:33" ht="117" x14ac:dyDescent="0.25">
      <c r="A168" s="690">
        <f t="shared" si="6"/>
        <v>143</v>
      </c>
      <c r="B168" s="691" t="s">
        <v>613</v>
      </c>
      <c r="C168" s="692">
        <v>80101706</v>
      </c>
      <c r="D168" s="693" t="s">
        <v>614</v>
      </c>
      <c r="E168" s="691" t="s">
        <v>48</v>
      </c>
      <c r="F168" s="691">
        <v>1</v>
      </c>
      <c r="G168" s="694" t="s">
        <v>73</v>
      </c>
      <c r="H168" s="695">
        <v>8</v>
      </c>
      <c r="I168" s="691" t="s">
        <v>61</v>
      </c>
      <c r="J168" s="691" t="s">
        <v>66</v>
      </c>
      <c r="K168" s="691" t="s">
        <v>608</v>
      </c>
      <c r="L168" s="696">
        <v>41848000</v>
      </c>
      <c r="M168" s="697">
        <f t="shared" si="5"/>
        <v>41848000</v>
      </c>
      <c r="N168" s="691" t="s">
        <v>51</v>
      </c>
      <c r="O168" s="691" t="s">
        <v>36</v>
      </c>
      <c r="P168" s="691" t="s">
        <v>615</v>
      </c>
      <c r="Q168" s="80"/>
      <c r="R168" s="698" t="str">
        <f>+IFERROR(VLOOKUP($A168,'[4]SEGUIMIENTO CONTRATOS 2018'!$A:$AJ,2,0)," ")</f>
        <v>083-2018</v>
      </c>
      <c r="S168" s="698" t="str">
        <f>+IFERROR(VLOOKUP($A168,'[4]SEGUIMIENTO CONTRATOS 2018'!$A:$AJ,3,0)," ")</f>
        <v>JUAN MAURICIO CORNEJO RODRIGUEZ</v>
      </c>
      <c r="T168" s="751">
        <f>+IFERROR(VLOOKUP($A168,'[4]SEGUIMIENTO CONTRATOS 2018'!$A:$AJ,8,0)," ")</f>
        <v>43116</v>
      </c>
      <c r="U168" s="698" t="str">
        <f>+IFERROR(VLOOKUP($A168,'[4]SEGUIMIENTO CONTRATOS 2018'!$A:$AJ,9,0)," ")</f>
        <v>Prestar servicios profesionales en la Oficina de Control Interno de Función Pública, para apoyar la ejecución del plan de auditorías internas y seguimientos a la gestión institucional programados para la vigencia 2018.</v>
      </c>
      <c r="V168" s="698" t="str">
        <f>+IFERROR(VLOOKUP($A168,'[4]SEGUIMIENTO CONTRATOS 2018'!$A:$AJ,11,0)," ")</f>
        <v>PRESTACION DE SERVICIOS PROFESIONALES</v>
      </c>
      <c r="W168" s="752">
        <f>+IFERROR(VLOOKUP($A168,'[4]SEGUIMIENTO CONTRATOS 2018'!$A:$AJ,13,0),0)</f>
        <v>41848000</v>
      </c>
      <c r="X168" s="698">
        <f>+IFERROR(VLOOKUP($A168,'[4]SEGUIMIENTO CONTRATOS 2018'!$A:$AJ,14,0),0)</f>
        <v>0</v>
      </c>
      <c r="Y168" s="752">
        <f>+IFERROR(VLOOKUP($A168,'[4]SEGUIMIENTO CONTRATOS 2018'!$A:$AJ,15,0),0)</f>
        <v>41848000</v>
      </c>
      <c r="Z168" s="752">
        <f>+IFERROR(VLOOKUP($A168,'[4]SEGUIMIENTO CONTRATOS 2018'!$A:$AJ,15,0),0)</f>
        <v>41848000</v>
      </c>
      <c r="AA168" s="698" t="str">
        <f>+IFERROR(VLOOKUP($A168,'[4]SEGUIMIENTO CONTRATOS 2018'!$A:$AJ,16,0)," ")</f>
        <v>Ocho (8) mensualidades vencidas, cada una por valor de CINCO MILLONES DOSCIENTOS TREINTA Y UN MIL PESOS ($5’231.000) M/CTE.</v>
      </c>
      <c r="AB168" s="698" t="str">
        <f>+IFERROR(VLOOKUP($A168,'[4]SEGUIMIENTO CONTRATOS 2018'!$A:$AL,38,0)," ")</f>
        <v>11518</v>
      </c>
      <c r="AC168" s="698" t="str">
        <f>+IFERROR(VLOOKUP($A168,'[4]SEGUIMIENTO CONTRATOS 2018'!$A:$AJ,24,0)," ")</f>
        <v>Ocho (8) meses, contados a partir del perfeccionamiento del mismo y registro presupuestal.</v>
      </c>
      <c r="AD168" s="751">
        <f>+IFERROR(VLOOKUP($A168,'[4]SEGUIMIENTO CONTRATOS 2018'!$A:$AJ,25,0)," ")</f>
        <v>43118</v>
      </c>
      <c r="AE168" s="751">
        <f>+IFERROR(VLOOKUP($A168,'[4]SEGUIMIENTO CONTRATOS 2018'!$A:$AJ,26,0)," ")</f>
        <v>43360</v>
      </c>
      <c r="AF168" s="698" t="str">
        <f>+IFERROR(VLOOKUP($A168,'[4]SEGUIMIENTO CONTRATOS 2018'!$A:$AJ,30,0)," ")</f>
        <v>LUZ STELLA PATIÑO JURADO</v>
      </c>
      <c r="AG168" s="698" t="str">
        <f>+IFERROR(VLOOKUP($A168,'[4]SEGUIMIENTO CONTRATOS 2018'!$A:$AJ,31,0)," ")</f>
        <v>OFICINA DE CONTROL INTERNO</v>
      </c>
    </row>
    <row r="169" spans="1:33" ht="93" x14ac:dyDescent="0.25">
      <c r="A169" s="721">
        <f t="shared" si="6"/>
        <v>144</v>
      </c>
      <c r="B169" s="722" t="s">
        <v>170</v>
      </c>
      <c r="C169" s="723">
        <v>80101706</v>
      </c>
      <c r="D169" s="724" t="s">
        <v>526</v>
      </c>
      <c r="E169" s="722" t="s">
        <v>48</v>
      </c>
      <c r="F169" s="722">
        <v>1</v>
      </c>
      <c r="G169" s="725" t="s">
        <v>73</v>
      </c>
      <c r="H169" s="726">
        <v>7</v>
      </c>
      <c r="I169" s="722" t="s">
        <v>61</v>
      </c>
      <c r="J169" s="722" t="s">
        <v>66</v>
      </c>
      <c r="K169" s="722" t="s">
        <v>608</v>
      </c>
      <c r="L169" s="727"/>
      <c r="M169" s="728"/>
      <c r="N169" s="722" t="s">
        <v>51</v>
      </c>
      <c r="O169" s="722" t="s">
        <v>36</v>
      </c>
      <c r="P169" s="722" t="s">
        <v>527</v>
      </c>
      <c r="Q169" s="80"/>
      <c r="R169" s="707" t="str">
        <f>+IFERROR(VLOOKUP($A169,'[4]SEGUIMIENTO CONTRATOS 2018'!$A:$AJ,2,0)," ")</f>
        <v xml:space="preserve"> </v>
      </c>
      <c r="S169" s="707" t="str">
        <f>+IFERROR(VLOOKUP($A169,'[4]SEGUIMIENTO CONTRATOS 2018'!$A:$AJ,3,0)," ")</f>
        <v xml:space="preserve"> </v>
      </c>
      <c r="T169" s="789" t="str">
        <f>+IFERROR(VLOOKUP($A169,'[4]SEGUIMIENTO CONTRATOS 2018'!$A:$AJ,8,0)," ")</f>
        <v xml:space="preserve"> </v>
      </c>
      <c r="U169" s="707" t="str">
        <f>+IFERROR(VLOOKUP($A169,'[4]SEGUIMIENTO CONTRATOS 2018'!$A:$AJ,9,0)," ")</f>
        <v xml:space="preserve"> </v>
      </c>
      <c r="V169" s="707" t="str">
        <f>+IFERROR(VLOOKUP($A169,'[4]SEGUIMIENTO CONTRATOS 2018'!$A:$AJ,11,0)," ")</f>
        <v xml:space="preserve"> </v>
      </c>
      <c r="W169" s="790">
        <f>+IFERROR(VLOOKUP($A169,'[4]SEGUIMIENTO CONTRATOS 2018'!$A:$AJ,13,0),0)</f>
        <v>0</v>
      </c>
      <c r="X169" s="707">
        <f>+IFERROR(VLOOKUP($A169,'[4]SEGUIMIENTO CONTRATOS 2018'!$A:$AJ,14,0),0)</f>
        <v>0</v>
      </c>
      <c r="Y169" s="790">
        <f>+IFERROR(VLOOKUP($A169,'[4]SEGUIMIENTO CONTRATOS 2018'!$A:$AJ,15,0),0)</f>
        <v>0</v>
      </c>
      <c r="Z169" s="790">
        <f>+IFERROR(VLOOKUP($A169,'[4]SEGUIMIENTO CONTRATOS 2018'!$A:$AJ,15,0),0)</f>
        <v>0</v>
      </c>
      <c r="AA169" s="707" t="str">
        <f>+IFERROR(VLOOKUP($A169,'[4]SEGUIMIENTO CONTRATOS 2018'!$A:$AJ,16,0)," ")</f>
        <v xml:space="preserve"> </v>
      </c>
      <c r="AB169" s="707" t="str">
        <f>+IFERROR(VLOOKUP($A169,'[4]SEGUIMIENTO CONTRATOS 2018'!$A:$AL,38,0)," ")</f>
        <v xml:space="preserve"> </v>
      </c>
      <c r="AC169" s="707" t="str">
        <f>+IFERROR(VLOOKUP($A169,'[4]SEGUIMIENTO CONTRATOS 2018'!$A:$AJ,24,0)," ")</f>
        <v xml:space="preserve"> </v>
      </c>
      <c r="AD169" s="789" t="str">
        <f>+IFERROR(VLOOKUP($A169,'[4]SEGUIMIENTO CONTRATOS 2018'!$A:$AJ,25,0)," ")</f>
        <v xml:space="preserve"> </v>
      </c>
      <c r="AE169" s="789" t="str">
        <f>+IFERROR(VLOOKUP($A169,'[4]SEGUIMIENTO CONTRATOS 2018'!$A:$AJ,26,0)," ")</f>
        <v xml:space="preserve"> </v>
      </c>
      <c r="AF169" s="707" t="str">
        <f>+IFERROR(VLOOKUP($A169,'[4]SEGUIMIENTO CONTRATOS 2018'!$A:$AJ,30,0)," ")</f>
        <v xml:space="preserve"> </v>
      </c>
      <c r="AG169" s="707" t="str">
        <f>+IFERROR(VLOOKUP($A169,'[4]SEGUIMIENTO CONTRATOS 2018'!$A:$AJ,31,0)," ")</f>
        <v xml:space="preserve"> </v>
      </c>
    </row>
    <row r="170" spans="1:33" ht="195" x14ac:dyDescent="0.25">
      <c r="A170" s="690">
        <f t="shared" si="6"/>
        <v>145</v>
      </c>
      <c r="B170" s="691" t="s">
        <v>170</v>
      </c>
      <c r="C170" s="692">
        <v>80101706</v>
      </c>
      <c r="D170" s="693" t="s">
        <v>526</v>
      </c>
      <c r="E170" s="691" t="s">
        <v>48</v>
      </c>
      <c r="F170" s="691">
        <v>1</v>
      </c>
      <c r="G170" s="694" t="s">
        <v>73</v>
      </c>
      <c r="H170" s="695">
        <v>6</v>
      </c>
      <c r="I170" s="691" t="s">
        <v>61</v>
      </c>
      <c r="J170" s="691" t="s">
        <v>66</v>
      </c>
      <c r="K170" s="691" t="s">
        <v>608</v>
      </c>
      <c r="L170" s="696">
        <v>39000000</v>
      </c>
      <c r="M170" s="697">
        <f t="shared" si="5"/>
        <v>39000000</v>
      </c>
      <c r="N170" s="691" t="s">
        <v>51</v>
      </c>
      <c r="O170" s="691" t="s">
        <v>36</v>
      </c>
      <c r="P170" s="691" t="s">
        <v>527</v>
      </c>
      <c r="Q170" s="80"/>
      <c r="R170" s="698" t="str">
        <f>+IFERROR(VLOOKUP($A170,'[4]SEGUIMIENTO CONTRATOS 2018'!$A:$AJ,2,0)," ")</f>
        <v>082-2018</v>
      </c>
      <c r="S170" s="698" t="str">
        <f>+IFERROR(VLOOKUP($A170,'[4]SEGUIMIENTO CONTRATOS 2018'!$A:$AJ,3,0)," ")</f>
        <v>EDUARDO PRADA VELASQUEZ</v>
      </c>
      <c r="T170" s="751">
        <f>+IFERROR(VLOOKUP($A170,'[4]SEGUIMIENTO CONTRATOS 2018'!$A:$AJ,8,0)," ")</f>
        <v>43116</v>
      </c>
      <c r="U170" s="698" t="str">
        <f>+IFERROR(VLOOKUP($A170,'[4]SEGUIMIENTO CONTRATOS 2018'!$A:$AJ,9,0)," ")</f>
        <v>Prestar servicios profesionales en la Dirección de Empleo Público de Función Pública para apoyar las actividades conducentes a la implementación de las competencias laborales, así como en la elaboración de la propuesta de creación y funcionamiento del Sistema Nacional de Cualificaciones en el marco de la Comisión Intersectorial para la Gestión del Recurso Humano (CIGERH).</v>
      </c>
      <c r="V170" s="698" t="str">
        <f>+IFERROR(VLOOKUP($A170,'[4]SEGUIMIENTO CONTRATOS 2018'!$A:$AJ,11,0)," ")</f>
        <v>PRESTACION DE SERVICIOS PROFESIONALES</v>
      </c>
      <c r="W170" s="752">
        <f>+IFERROR(VLOOKUP($A170,'[4]SEGUIMIENTO CONTRATOS 2018'!$A:$AJ,13,0),0)</f>
        <v>39000000</v>
      </c>
      <c r="X170" s="698">
        <f>+IFERROR(VLOOKUP($A170,'[4]SEGUIMIENTO CONTRATOS 2018'!$A:$AJ,14,0),0)</f>
        <v>0</v>
      </c>
      <c r="Y170" s="752">
        <f>+IFERROR(VLOOKUP($A170,'[4]SEGUIMIENTO CONTRATOS 2018'!$A:$AJ,15,0),0)</f>
        <v>39000000</v>
      </c>
      <c r="Z170" s="752">
        <f>+IFERROR(VLOOKUP($A170,'[4]SEGUIMIENTO CONTRATOS 2018'!$A:$AJ,15,0),0)</f>
        <v>39000000</v>
      </c>
      <c r="AA170" s="698" t="str">
        <f>+IFERROR(VLOOKUP($A170,'[4]SEGUIMIENTO CONTRATOS 2018'!$A:$AJ,16,0)," ")</f>
        <v>Seis (6) mensualidades vencidas, cada una por valor de SEIS MILLONES QUINIENTOS MIL PESOS ($6’500.000) M/CTE.</v>
      </c>
      <c r="AB170" s="698" t="str">
        <f>+IFERROR(VLOOKUP($A170,'[4]SEGUIMIENTO CONTRATOS 2018'!$A:$AL,38,0)," ")</f>
        <v>11618</v>
      </c>
      <c r="AC170" s="698" t="str">
        <f>+IFERROR(VLOOKUP($A170,'[4]SEGUIMIENTO CONTRATOS 2018'!$A:$AJ,24,0)," ")</f>
        <v>Seis (6) meses, contados a partir del perfeccionamiento del mismo y registro presupuestal.</v>
      </c>
      <c r="AD170" s="751">
        <f>+IFERROR(VLOOKUP($A170,'[4]SEGUIMIENTO CONTRATOS 2018'!$A:$AJ,25,0)," ")</f>
        <v>43118</v>
      </c>
      <c r="AE170" s="751">
        <f>+IFERROR(VLOOKUP($A170,'[4]SEGUIMIENTO CONTRATOS 2018'!$A:$AJ,26,0)," ")</f>
        <v>43298</v>
      </c>
      <c r="AF170" s="698" t="str">
        <f>+IFERROR(VLOOKUP($A170,'[4]SEGUIMIENTO CONTRATOS 2018'!$A:$AJ,30,0)," ")</f>
        <v xml:space="preserve">JIMMY ALEJANDRO ESCOBAR CASTRO </v>
      </c>
      <c r="AG170" s="698" t="str">
        <f>+IFERROR(VLOOKUP($A170,'[4]SEGUIMIENTO CONTRATOS 2018'!$A:$AJ,31,0)," ")</f>
        <v>DIRECCION DE EMPLEO PUBLICO</v>
      </c>
    </row>
    <row r="171" spans="1:33" ht="136.5" x14ac:dyDescent="0.25">
      <c r="A171" s="690">
        <f t="shared" si="6"/>
        <v>146</v>
      </c>
      <c r="B171" s="691" t="s">
        <v>301</v>
      </c>
      <c r="C171" s="692">
        <v>80101706</v>
      </c>
      <c r="D171" s="693" t="s">
        <v>511</v>
      </c>
      <c r="E171" s="691" t="s">
        <v>48</v>
      </c>
      <c r="F171" s="691">
        <v>1</v>
      </c>
      <c r="G171" s="694" t="s">
        <v>73</v>
      </c>
      <c r="H171" s="695">
        <v>8</v>
      </c>
      <c r="I171" s="691" t="s">
        <v>61</v>
      </c>
      <c r="J171" s="691" t="s">
        <v>66</v>
      </c>
      <c r="K171" s="691" t="s">
        <v>608</v>
      </c>
      <c r="L171" s="696">
        <v>64000000</v>
      </c>
      <c r="M171" s="697">
        <f t="shared" si="5"/>
        <v>64000000</v>
      </c>
      <c r="N171" s="691" t="s">
        <v>51</v>
      </c>
      <c r="O171" s="691" t="s">
        <v>36</v>
      </c>
      <c r="P171" s="691" t="s">
        <v>504</v>
      </c>
      <c r="Q171" s="80"/>
      <c r="R171" s="698" t="str">
        <f>+IFERROR(VLOOKUP($A171,'[4]SEGUIMIENTO CONTRATOS 2018'!$A:$AJ,2,0)," ")</f>
        <v>084-2018</v>
      </c>
      <c r="S171" s="698" t="str">
        <f>+IFERROR(VLOOKUP($A171,'[4]SEGUIMIENTO CONTRATOS 2018'!$A:$AJ,3,0)," ")</f>
        <v>RAFAEL ANTONIO GARCIA RODRIGUEZ</v>
      </c>
      <c r="T171" s="751">
        <f>+IFERROR(VLOOKUP($A171,'[4]SEGUIMIENTO CONTRATOS 2018'!$A:$AJ,8,0)," ")</f>
        <v>43116</v>
      </c>
      <c r="U171" s="698" t="str">
        <f>+IFERROR(VLOOKUP($A171,'[4]SEGUIMIENTO CONTRATOS 2018'!$A:$AJ,9,0)," ")</f>
        <v>Prestar servicios profesionales en la Subdirección de Función Pública, para apoyar el fortalecimiento del uso y apropiación del Costumer Relationship Management (CRM) y su implementación en las areas técnicas, misionales y de apoyo de la Entidad.</v>
      </c>
      <c r="V171" s="698" t="str">
        <f>+IFERROR(VLOOKUP($A171,'[4]SEGUIMIENTO CONTRATOS 2018'!$A:$AJ,11,0)," ")</f>
        <v>PRESTACION DE SERVICIOS PROFESIONALES</v>
      </c>
      <c r="W171" s="752">
        <f>+IFERROR(VLOOKUP($A171,'[4]SEGUIMIENTO CONTRATOS 2018'!$A:$AJ,13,0),0)</f>
        <v>64000000</v>
      </c>
      <c r="X171" s="698">
        <f>+IFERROR(VLOOKUP($A171,'[4]SEGUIMIENTO CONTRATOS 2018'!$A:$AJ,14,0),0)</f>
        <v>0</v>
      </c>
      <c r="Y171" s="752">
        <f>+IFERROR(VLOOKUP($A171,'[4]SEGUIMIENTO CONTRATOS 2018'!$A:$AJ,15,0),0)</f>
        <v>64000000</v>
      </c>
      <c r="Z171" s="752">
        <f>+IFERROR(VLOOKUP($A171,'[4]SEGUIMIENTO CONTRATOS 2018'!$A:$AJ,15,0),0)</f>
        <v>64000000</v>
      </c>
      <c r="AA171" s="698" t="str">
        <f>+IFERROR(VLOOKUP($A171,'[4]SEGUIMIENTO CONTRATOS 2018'!$A:$AJ,16,0)," ")</f>
        <v>Ocho (8) mensualidades vencidas, cada una por valor de OCHO MILLONES DE PESOS ($8’000.000) M/CTE.</v>
      </c>
      <c r="AB171" s="698" t="str">
        <f>+IFERROR(VLOOKUP($A171,'[4]SEGUIMIENTO CONTRATOS 2018'!$A:$AL,38,0)," ")</f>
        <v>11718</v>
      </c>
      <c r="AC171" s="698" t="str">
        <f>+IFERROR(VLOOKUP($A171,'[4]SEGUIMIENTO CONTRATOS 2018'!$A:$AJ,24,0)," ")</f>
        <v>Ocho (8) meses, contados a partir del perfeccionamiento del mismo y registro presupuestal.</v>
      </c>
      <c r="AD171" s="751">
        <f>+IFERROR(VLOOKUP($A171,'[4]SEGUIMIENTO CONTRATOS 2018'!$A:$AJ,25,0)," ")</f>
        <v>43117</v>
      </c>
      <c r="AE171" s="751">
        <f>+IFERROR(VLOOKUP($A171,'[4]SEGUIMIENTO CONTRATOS 2018'!$A:$AJ,26,0)," ")</f>
        <v>43359</v>
      </c>
      <c r="AF171" s="698" t="str">
        <f>+IFERROR(VLOOKUP($A171,'[4]SEGUIMIENTO CONTRATOS 2018'!$A:$AJ,30,0)," ")</f>
        <v xml:space="preserve">FERNANDO AUGUSTO MEDINA GUTIERREZ </v>
      </c>
      <c r="AG171" s="698" t="str">
        <f>+IFERROR(VLOOKUP($A171,'[4]SEGUIMIENTO CONTRATOS 2018'!$A:$AJ,31,0)," ")</f>
        <v>SUBDIRECCIÓN</v>
      </c>
    </row>
    <row r="172" spans="1:33" ht="195" x14ac:dyDescent="0.25">
      <c r="A172" s="690">
        <f t="shared" si="6"/>
        <v>147</v>
      </c>
      <c r="B172" s="691" t="s">
        <v>267</v>
      </c>
      <c r="C172" s="692">
        <v>80101706</v>
      </c>
      <c r="D172" s="693" t="s">
        <v>530</v>
      </c>
      <c r="E172" s="691" t="s">
        <v>48</v>
      </c>
      <c r="F172" s="691">
        <v>1</v>
      </c>
      <c r="G172" s="694" t="s">
        <v>73</v>
      </c>
      <c r="H172" s="695">
        <v>8</v>
      </c>
      <c r="I172" s="691" t="s">
        <v>61</v>
      </c>
      <c r="J172" s="691" t="s">
        <v>66</v>
      </c>
      <c r="K172" s="691" t="s">
        <v>608</v>
      </c>
      <c r="L172" s="696">
        <v>44000000</v>
      </c>
      <c r="M172" s="697">
        <f t="shared" si="5"/>
        <v>44000000</v>
      </c>
      <c r="N172" s="691" t="s">
        <v>51</v>
      </c>
      <c r="O172" s="691" t="s">
        <v>36</v>
      </c>
      <c r="P172" s="691" t="s">
        <v>546</v>
      </c>
      <c r="Q172" s="80"/>
      <c r="R172" s="698" t="str">
        <f>+IFERROR(VLOOKUP($A172,'[4]SEGUIMIENTO CONTRATOS 2018'!$A:$AJ,2,0)," ")</f>
        <v>122-2018</v>
      </c>
      <c r="S172" s="698" t="str">
        <f>+IFERROR(VLOOKUP($A172,'[4]SEGUIMIENTO CONTRATOS 2018'!$A:$AJ,3,0)," ")</f>
        <v>DORLEY ENRIQUE LEÓN LOPEZ</v>
      </c>
      <c r="T172" s="751">
        <f>+IFERROR(VLOOKUP($A172,'[4]SEGUIMIENTO CONTRATOS 2018'!$A:$AJ,8,0)," ")</f>
        <v>43119</v>
      </c>
      <c r="U172" s="698" t="str">
        <f>+IFERROR(VLOOKUP($A172,'[4]SEGUIMIENTO CONTRATOS 2018'!$A:$AJ,9,0)," ")</f>
        <v>Prestar servicios profesionales en la Dirección de Gestión y Desempeño Institucional de Función Pública para apoyar la revisión, simplificación y actualización de las guías y/o instrumentos de la Política de control interno en el marco del modelo Integrado de Planeación y Gestión y apoyar las actividades del Consejo Asesor del Gobierno Nacional en materia de Control Interno y su Comité Técnico</v>
      </c>
      <c r="V172" s="698" t="str">
        <f>+IFERROR(VLOOKUP($A172,'[4]SEGUIMIENTO CONTRATOS 2018'!$A:$AJ,11,0)," ")</f>
        <v>PRESTACION DE SERVICIOS PROFESIONALES</v>
      </c>
      <c r="W172" s="752">
        <f>+IFERROR(VLOOKUP($A172,'[4]SEGUIMIENTO CONTRATOS 2018'!$A:$AJ,13,0),0)</f>
        <v>44000000</v>
      </c>
      <c r="X172" s="698">
        <f>+IFERROR(VLOOKUP($A172,'[4]SEGUIMIENTO CONTRATOS 2018'!$A:$AJ,14,0),0)</f>
        <v>0</v>
      </c>
      <c r="Y172" s="752">
        <f>+IFERROR(VLOOKUP($A172,'[4]SEGUIMIENTO CONTRATOS 2018'!$A:$AJ,15,0),0)</f>
        <v>44000000</v>
      </c>
      <c r="Z172" s="752">
        <f>+IFERROR(VLOOKUP($A172,'[4]SEGUIMIENTO CONTRATOS 2018'!$A:$AJ,15,0),0)</f>
        <v>44000000</v>
      </c>
      <c r="AA172" s="698" t="str">
        <f>+IFERROR(VLOOKUP($A172,'[4]SEGUIMIENTO CONTRATOS 2018'!$A:$AJ,16,0)," ")</f>
        <v>Ocho (8) mensualidades vencidas, cada una por valor de CINCO MILLONES QUINIENTOS MIL PESOS ($5.500.000) M/CTE</v>
      </c>
      <c r="AB172" s="698" t="str">
        <f>+IFERROR(VLOOKUP($A172,'[4]SEGUIMIENTO CONTRATOS 2018'!$A:$AL,38,0)," ")</f>
        <v>11818</v>
      </c>
      <c r="AC172" s="698" t="str">
        <f>+IFERROR(VLOOKUP($A172,'[4]SEGUIMIENTO CONTRATOS 2018'!$A:$AJ,24,0)," ")</f>
        <v>Ocho (8) meses, contado a partir del perfeccionamiento del mismo y registro presupuestal.</v>
      </c>
      <c r="AD172" s="751">
        <f>+IFERROR(VLOOKUP($A172,'[4]SEGUIMIENTO CONTRATOS 2018'!$A:$AJ,25,0)," ")</f>
        <v>43122</v>
      </c>
      <c r="AE172" s="751">
        <f>+IFERROR(VLOOKUP($A172,'[4]SEGUIMIENTO CONTRATOS 2018'!$A:$AJ,26,0)," ")</f>
        <v>43364</v>
      </c>
      <c r="AF172" s="698" t="str">
        <f>+IFERROR(VLOOKUP($A172,'[4]SEGUIMIENTO CONTRATOS 2018'!$A:$AJ,30,0)," ")</f>
        <v>DOLLY AMAYA CABALLERO</v>
      </c>
      <c r="AG172" s="698" t="str">
        <f>+IFERROR(VLOOKUP($A172,'[4]SEGUIMIENTO CONTRATOS 2018'!$A:$AJ,31,0)," ")</f>
        <v>DIRECCION DE GESTION Y DESEMPEÑO INSTITUCIONAL</v>
      </c>
    </row>
    <row r="173" spans="1:33" ht="175.5" x14ac:dyDescent="0.25">
      <c r="A173" s="690">
        <f t="shared" si="6"/>
        <v>148</v>
      </c>
      <c r="B173" s="691" t="s">
        <v>267</v>
      </c>
      <c r="C173" s="692">
        <v>80101706</v>
      </c>
      <c r="D173" s="693" t="s">
        <v>530</v>
      </c>
      <c r="E173" s="691" t="s">
        <v>48</v>
      </c>
      <c r="F173" s="691">
        <v>1</v>
      </c>
      <c r="G173" s="694" t="s">
        <v>73</v>
      </c>
      <c r="H173" s="695">
        <v>8</v>
      </c>
      <c r="I173" s="691" t="s">
        <v>61</v>
      </c>
      <c r="J173" s="691" t="s">
        <v>66</v>
      </c>
      <c r="K173" s="691" t="s">
        <v>608</v>
      </c>
      <c r="L173" s="696">
        <v>44000000</v>
      </c>
      <c r="M173" s="697">
        <f t="shared" si="5"/>
        <v>44000000</v>
      </c>
      <c r="N173" s="691" t="s">
        <v>51</v>
      </c>
      <c r="O173" s="691" t="s">
        <v>36</v>
      </c>
      <c r="P173" s="691" t="s">
        <v>546</v>
      </c>
      <c r="Q173" s="80"/>
      <c r="R173" s="698" t="str">
        <f>+IFERROR(VLOOKUP($A173,'[4]SEGUIMIENTO CONTRATOS 2018'!$A:$AJ,2,0)," ")</f>
        <v>120-2018</v>
      </c>
      <c r="S173" s="698" t="str">
        <f>+IFERROR(VLOOKUP($A173,'[4]SEGUIMIENTO CONTRATOS 2018'!$A:$AJ,3,0)," ")</f>
        <v>ADRIANA DEL PILAR CIFUENTES BLANCO</v>
      </c>
      <c r="T173" s="751">
        <f>+IFERROR(VLOOKUP($A173,'[4]SEGUIMIENTO CONTRATOS 2018'!$A:$AJ,8,0)," ")</f>
        <v>43118</v>
      </c>
      <c r="U173" s="698" t="str">
        <f>+IFERROR(VLOOKUP($A173,'[4]SEGUIMIENTO CONTRATOS 2018'!$A:$AJ,9,0)," ")</f>
        <v>Prestar servicios profesionales en la Dirección de Gestión y Desempeño Institucional de Función Pública para apoyar la revisión, simplificación y actualización de las guías y/o instrumentos de las políticas de gestión y desempeño en el marco del Modelo Integrado de Planeación y Gestión y apoyar las actividades del consejo para la Gestión y el Desempeño Institucional.</v>
      </c>
      <c r="V173" s="698" t="str">
        <f>+IFERROR(VLOOKUP($A173,'[4]SEGUIMIENTO CONTRATOS 2018'!$A:$AJ,11,0)," ")</f>
        <v>PRESTACION DE SERVICIOS PROFESIONALES</v>
      </c>
      <c r="W173" s="752">
        <f>+IFERROR(VLOOKUP($A173,'[4]SEGUIMIENTO CONTRATOS 2018'!$A:$AJ,13,0),0)</f>
        <v>44000000</v>
      </c>
      <c r="X173" s="698">
        <f>+IFERROR(VLOOKUP($A173,'[4]SEGUIMIENTO CONTRATOS 2018'!$A:$AJ,14,0),0)</f>
        <v>0</v>
      </c>
      <c r="Y173" s="752">
        <f>+IFERROR(VLOOKUP($A173,'[4]SEGUIMIENTO CONTRATOS 2018'!$A:$AJ,15,0),0)</f>
        <v>44000000</v>
      </c>
      <c r="Z173" s="752">
        <f>+IFERROR(VLOOKUP($A173,'[4]SEGUIMIENTO CONTRATOS 2018'!$A:$AJ,15,0),0)</f>
        <v>44000000</v>
      </c>
      <c r="AA173" s="698" t="str">
        <f>+IFERROR(VLOOKUP($A173,'[4]SEGUIMIENTO CONTRATOS 2018'!$A:$AJ,16,0)," ")</f>
        <v>Ocho (8) mensualidades vencidas, cada una por valor de CINCO MILLONES QUINIENTOS MIL PESOS ($5.500.000) M/CTE</v>
      </c>
      <c r="AB173" s="698" t="str">
        <f>+IFERROR(VLOOKUP($A173,'[4]SEGUIMIENTO CONTRATOS 2018'!$A:$AL,38,0)," ")</f>
        <v>11918</v>
      </c>
      <c r="AC173" s="698" t="str">
        <f>+IFERROR(VLOOKUP($A173,'[4]SEGUIMIENTO CONTRATOS 2018'!$A:$AJ,24,0)," ")</f>
        <v>Ocho (8) meses, contado a partir del perfeccionamiento del mismo y registro presupuestal.</v>
      </c>
      <c r="AD173" s="751">
        <f>+IFERROR(VLOOKUP($A173,'[4]SEGUIMIENTO CONTRATOS 2018'!$A:$AJ,25,0)," ")</f>
        <v>43122</v>
      </c>
      <c r="AE173" s="751">
        <f>+IFERROR(VLOOKUP($A173,'[4]SEGUIMIENTO CONTRATOS 2018'!$A:$AJ,26,0)," ")</f>
        <v>43364</v>
      </c>
      <c r="AF173" s="698" t="str">
        <f>+IFERROR(VLOOKUP($A173,'[4]SEGUIMIENTO CONTRATOS 2018'!$A:$AJ,30,0)," ")</f>
        <v>DOLLY AMAYA CABALLERO</v>
      </c>
      <c r="AG173" s="698" t="str">
        <f>+IFERROR(VLOOKUP($A173,'[4]SEGUIMIENTO CONTRATOS 2018'!$A:$AJ,31,0)," ")</f>
        <v>DIRECCION DE GESTION Y DESEMPEÑO INSTITUCIONAL</v>
      </c>
    </row>
    <row r="174" spans="1:33" ht="156" x14ac:dyDescent="0.25">
      <c r="A174" s="690">
        <f t="shared" si="6"/>
        <v>149</v>
      </c>
      <c r="B174" s="691" t="s">
        <v>267</v>
      </c>
      <c r="C174" s="692">
        <v>80101706</v>
      </c>
      <c r="D174" s="693" t="s">
        <v>530</v>
      </c>
      <c r="E174" s="691" t="s">
        <v>48</v>
      </c>
      <c r="F174" s="691">
        <v>1</v>
      </c>
      <c r="G174" s="694" t="s">
        <v>73</v>
      </c>
      <c r="H174" s="695">
        <v>6</v>
      </c>
      <c r="I174" s="691" t="s">
        <v>61</v>
      </c>
      <c r="J174" s="691" t="s">
        <v>66</v>
      </c>
      <c r="K174" s="691" t="s">
        <v>608</v>
      </c>
      <c r="L174" s="696">
        <v>32100000</v>
      </c>
      <c r="M174" s="697">
        <f t="shared" si="5"/>
        <v>32100000</v>
      </c>
      <c r="N174" s="691" t="s">
        <v>51</v>
      </c>
      <c r="O174" s="691" t="s">
        <v>36</v>
      </c>
      <c r="P174" s="691" t="s">
        <v>546</v>
      </c>
      <c r="Q174" s="80"/>
      <c r="R174" s="698" t="str">
        <f>+IFERROR(VLOOKUP($A174,'[4]SEGUIMIENTO CONTRATOS 2018'!$A:$AJ,2,0)," ")</f>
        <v>130-2018</v>
      </c>
      <c r="S174" s="698" t="str">
        <f>+IFERROR(VLOOKUP($A174,'[4]SEGUIMIENTO CONTRATOS 2018'!$A:$AJ,3,0)," ")</f>
        <v>KAREN VANESSA MUÑOZ GULFO</v>
      </c>
      <c r="T174" s="751">
        <f>+IFERROR(VLOOKUP($A174,'[4]SEGUIMIENTO CONTRATOS 2018'!$A:$AJ,8,0)," ")</f>
        <v>43123</v>
      </c>
      <c r="U174" s="698" t="str">
        <f>+IFERROR(VLOOKUP($A174,'[4]SEGUIMIENTO CONTRATOS 2018'!$A:$AJ,9,0)," ")</f>
        <v>Prestar servicios profesionales para apoyar a la Dirección de Gestión y Desempeño Institucional, en la ejecución de las actividades necesarias, para el establecimiento de los criterios diferenciales de las politicas de Gestión y Desempeño y de Control Interno, con los lideres de dichas politicas.</v>
      </c>
      <c r="V174" s="698" t="str">
        <f>+IFERROR(VLOOKUP($A174,'[4]SEGUIMIENTO CONTRATOS 2018'!$A:$AJ,11,0)," ")</f>
        <v>PRESTACION DE SERVICIOS PROFESIONALES</v>
      </c>
      <c r="W174" s="752">
        <f>+IFERROR(VLOOKUP($A174,'[4]SEGUIMIENTO CONTRATOS 2018'!$A:$AJ,13,0),0)</f>
        <v>32100000</v>
      </c>
      <c r="X174" s="698">
        <f>+IFERROR(VLOOKUP($A174,'[4]SEGUIMIENTO CONTRATOS 2018'!$A:$AJ,14,0),0)</f>
        <v>0</v>
      </c>
      <c r="Y174" s="752">
        <f>+IFERROR(VLOOKUP($A174,'[4]SEGUIMIENTO CONTRATOS 2018'!$A:$AJ,15,0),0)</f>
        <v>32100000</v>
      </c>
      <c r="Z174" s="752">
        <f>+IFERROR(VLOOKUP($A174,'[4]SEGUIMIENTO CONTRATOS 2018'!$A:$AJ,15,0),0)</f>
        <v>32100000</v>
      </c>
      <c r="AA174" s="698" t="str">
        <f>+IFERROR(VLOOKUP($A174,'[4]SEGUIMIENTO CONTRATOS 2018'!$A:$AJ,16,0)," ")</f>
        <v>Seis (6) mensualidades vencidas, cada una por valor de CINCO MILLONES TRESCIENTOS CINCUENTA MIL PESOS ($5´350.000) M/CTE.</v>
      </c>
      <c r="AB174" s="698" t="str">
        <f>+IFERROR(VLOOKUP($A174,'[4]SEGUIMIENTO CONTRATOS 2018'!$A:$AL,38,0)," ")</f>
        <v>12018</v>
      </c>
      <c r="AC174" s="698" t="str">
        <f>+IFERROR(VLOOKUP($A174,'[4]SEGUIMIENTO CONTRATOS 2018'!$A:$AJ,24,0)," ")</f>
        <v>Seis (6) meses, contado a partir del perfeccionamiento del mismo y registro presupuestal.</v>
      </c>
      <c r="AD174" s="751">
        <f>+IFERROR(VLOOKUP($A174,'[4]SEGUIMIENTO CONTRATOS 2018'!$A:$AJ,25,0)," ")</f>
        <v>43125</v>
      </c>
      <c r="AE174" s="751">
        <f>+IFERROR(VLOOKUP($A174,'[4]SEGUIMIENTO CONTRATOS 2018'!$A:$AJ,26,0)," ")</f>
        <v>43305</v>
      </c>
      <c r="AF174" s="698" t="str">
        <f>+IFERROR(VLOOKUP($A174,'[4]SEGUIMIENTO CONTRATOS 2018'!$A:$AJ,30,0)," ")</f>
        <v>DIANA MARIA CALDAS GUALTEROS</v>
      </c>
      <c r="AG174" s="698" t="str">
        <f>+IFERROR(VLOOKUP($A174,'[4]SEGUIMIENTO CONTRATOS 2018'!$A:$AJ,31,0)," ")</f>
        <v>DIRECCION DE GESTION Y DESEMPEÑO INSTITUCIONAL</v>
      </c>
    </row>
    <row r="175" spans="1:33" ht="117" x14ac:dyDescent="0.25">
      <c r="A175" s="690">
        <f t="shared" si="6"/>
        <v>150</v>
      </c>
      <c r="B175" s="691" t="s">
        <v>267</v>
      </c>
      <c r="C175" s="692">
        <v>80101706</v>
      </c>
      <c r="D175" s="693" t="s">
        <v>530</v>
      </c>
      <c r="E175" s="691" t="s">
        <v>48</v>
      </c>
      <c r="F175" s="691">
        <v>1</v>
      </c>
      <c r="G175" s="694" t="s">
        <v>73</v>
      </c>
      <c r="H175" s="695">
        <v>8</v>
      </c>
      <c r="I175" s="691" t="s">
        <v>61</v>
      </c>
      <c r="J175" s="691" t="s">
        <v>66</v>
      </c>
      <c r="K175" s="691" t="s">
        <v>608</v>
      </c>
      <c r="L175" s="696">
        <v>29384000</v>
      </c>
      <c r="M175" s="697">
        <f t="shared" si="5"/>
        <v>29384000</v>
      </c>
      <c r="N175" s="691" t="s">
        <v>51</v>
      </c>
      <c r="O175" s="691" t="s">
        <v>36</v>
      </c>
      <c r="P175" s="691" t="s">
        <v>546</v>
      </c>
      <c r="Q175" s="80"/>
      <c r="R175" s="698" t="str">
        <f>+IFERROR(VLOOKUP($A175,'[4]SEGUIMIENTO CONTRATOS 2018'!$A:$AJ,2,0)," ")</f>
        <v>064-2018</v>
      </c>
      <c r="S175" s="698" t="str">
        <f>+IFERROR(VLOOKUP($A175,'[4]SEGUIMIENTO CONTRATOS 2018'!$A:$AJ,3,0)," ")</f>
        <v>VANESSA YISETH LOZANO GUERRERO</v>
      </c>
      <c r="T175" s="751">
        <f>+IFERROR(VLOOKUP($A175,'[4]SEGUIMIENTO CONTRATOS 2018'!$A:$AJ,8,0)," ")</f>
        <v>43112</v>
      </c>
      <c r="U175" s="698" t="str">
        <f>+IFERROR(VLOOKUP($A175,'[4]SEGUIMIENTO CONTRATOS 2018'!$A:$AJ,9,0)," ")</f>
        <v>Prestar servicios profesionales en la Dirección de Gestión y Desempeño Institucional de Función Pública para apoyar las gestiones relacionadas con el Banco de Éxitos y la convocatoria al Premio Nacional de Alta Gerencia versión 2018.</v>
      </c>
      <c r="V175" s="698" t="str">
        <f>+IFERROR(VLOOKUP($A175,'[4]SEGUIMIENTO CONTRATOS 2018'!$A:$AJ,11,0)," ")</f>
        <v>PRESTACION DE SERVICIOS PROFESIONALES</v>
      </c>
      <c r="W175" s="752">
        <f>+IFERROR(VLOOKUP($A175,'[4]SEGUIMIENTO CONTRATOS 2018'!$A:$AJ,13,0),0)</f>
        <v>29384000</v>
      </c>
      <c r="X175" s="698">
        <f>+IFERROR(VLOOKUP($A175,'[4]SEGUIMIENTO CONTRATOS 2018'!$A:$AJ,14,0),0)</f>
        <v>0</v>
      </c>
      <c r="Y175" s="752">
        <f>+IFERROR(VLOOKUP($A175,'[4]SEGUIMIENTO CONTRATOS 2018'!$A:$AJ,15,0),0)</f>
        <v>29384000</v>
      </c>
      <c r="Z175" s="752">
        <f>+IFERROR(VLOOKUP($A175,'[4]SEGUIMIENTO CONTRATOS 2018'!$A:$AJ,15,0),0)</f>
        <v>29384000</v>
      </c>
      <c r="AA175" s="698" t="str">
        <f>+IFERROR(VLOOKUP($A175,'[4]SEGUIMIENTO CONTRATOS 2018'!$A:$AJ,16,0)," ")</f>
        <v>Ocho (8) mensualidades vencidas, cada una por valor de TRES MILLONES SEISCIENTOS SETENTA Y TRES MIL PESOS ($3.673.000) M/CTE.</v>
      </c>
      <c r="AB175" s="698" t="str">
        <f>+IFERROR(VLOOKUP($A175,'[4]SEGUIMIENTO CONTRATOS 2018'!$A:$AL,38,0)," ")</f>
        <v>12118</v>
      </c>
      <c r="AC175" s="698" t="str">
        <f>+IFERROR(VLOOKUP($A175,'[4]SEGUIMIENTO CONTRATOS 2018'!$A:$AJ,24,0)," ")</f>
        <v>Ocho (08) meses, contado a partir del perfeccionamiento del mismo y registro presupuestal.</v>
      </c>
      <c r="AD175" s="751">
        <f>+IFERROR(VLOOKUP($A175,'[4]SEGUIMIENTO CONTRATOS 2018'!$A:$AJ,25,0)," ")</f>
        <v>43116</v>
      </c>
      <c r="AE175" s="751">
        <f>+IFERROR(VLOOKUP($A175,'[4]SEGUIMIENTO CONTRATOS 2018'!$A:$AJ,26,0)," ")</f>
        <v>43358</v>
      </c>
      <c r="AF175" s="698" t="str">
        <f>+IFERROR(VLOOKUP($A175,'[4]SEGUIMIENTO CONTRATOS 2018'!$A:$AJ,30,0)," ")</f>
        <v xml:space="preserve">MARÍA DEL PILAR GARCÍA GONZÁLEZ </v>
      </c>
      <c r="AG175" s="698" t="str">
        <f>+IFERROR(VLOOKUP($A175,'[4]SEGUIMIENTO CONTRATOS 2018'!$A:$AJ,31,0)," ")</f>
        <v>DIRECCION DE GESTION Y DESEMPEÑO INSTITUCIONAL</v>
      </c>
    </row>
    <row r="176" spans="1:33" ht="117" x14ac:dyDescent="0.25">
      <c r="A176" s="690">
        <f t="shared" si="6"/>
        <v>151</v>
      </c>
      <c r="B176" s="691" t="s">
        <v>267</v>
      </c>
      <c r="C176" s="692">
        <v>80101706</v>
      </c>
      <c r="D176" s="693" t="s">
        <v>530</v>
      </c>
      <c r="E176" s="691" t="s">
        <v>48</v>
      </c>
      <c r="F176" s="691">
        <v>1</v>
      </c>
      <c r="G176" s="694" t="s">
        <v>73</v>
      </c>
      <c r="H176" s="695">
        <v>8</v>
      </c>
      <c r="I176" s="691" t="s">
        <v>61</v>
      </c>
      <c r="J176" s="691" t="s">
        <v>66</v>
      </c>
      <c r="K176" s="691" t="s">
        <v>608</v>
      </c>
      <c r="L176" s="696">
        <v>29384000</v>
      </c>
      <c r="M176" s="697">
        <f t="shared" si="5"/>
        <v>29384000</v>
      </c>
      <c r="N176" s="691" t="s">
        <v>51</v>
      </c>
      <c r="O176" s="691" t="s">
        <v>36</v>
      </c>
      <c r="P176" s="691" t="s">
        <v>546</v>
      </c>
      <c r="Q176" s="80"/>
      <c r="R176" s="698" t="str">
        <f>+IFERROR(VLOOKUP($A176,'[4]SEGUIMIENTO CONTRATOS 2018'!$A:$AJ,2,0)," ")</f>
        <v>081-2018</v>
      </c>
      <c r="S176" s="698" t="str">
        <f>+IFERROR(VLOOKUP($A176,'[4]SEGUIMIENTO CONTRATOS 2018'!$A:$AJ,3,0)," ")</f>
        <v>OSCAR MANUEL RODRIGUEZ NIÑO</v>
      </c>
      <c r="T176" s="751">
        <f>+IFERROR(VLOOKUP($A176,'[4]SEGUIMIENTO CONTRATOS 2018'!$A:$AJ,8,0)," ")</f>
        <v>43115</v>
      </c>
      <c r="U176" s="698" t="str">
        <f>+IFERROR(VLOOKUP($A176,'[4]SEGUIMIENTO CONTRATOS 2018'!$A:$AJ,9,0)," ")</f>
        <v>Prestar servicios profesionales en la Dirección de Gestión y Desempeño Institucional de Función Pública para apoyar las gestiones relacionadas con el Banco de Éxitos y la convocatoria al Premio Nacional de Alta Gerencia versión 2018.</v>
      </c>
      <c r="V176" s="698" t="str">
        <f>+IFERROR(VLOOKUP($A176,'[4]SEGUIMIENTO CONTRATOS 2018'!$A:$AJ,11,0)," ")</f>
        <v>PRESTACION DE SERVICIOS PROFESIONALES</v>
      </c>
      <c r="W176" s="752">
        <f>+IFERROR(VLOOKUP($A176,'[4]SEGUIMIENTO CONTRATOS 2018'!$A:$AJ,13,0),0)</f>
        <v>29384000</v>
      </c>
      <c r="X176" s="698">
        <f>+IFERROR(VLOOKUP($A176,'[4]SEGUIMIENTO CONTRATOS 2018'!$A:$AJ,14,0),0)</f>
        <v>0</v>
      </c>
      <c r="Y176" s="752">
        <f>+IFERROR(VLOOKUP($A176,'[4]SEGUIMIENTO CONTRATOS 2018'!$A:$AJ,15,0),0)</f>
        <v>29384000</v>
      </c>
      <c r="Z176" s="752">
        <f>+IFERROR(VLOOKUP($A176,'[4]SEGUIMIENTO CONTRATOS 2018'!$A:$AJ,15,0),0)</f>
        <v>29384000</v>
      </c>
      <c r="AA176" s="698" t="str">
        <f>+IFERROR(VLOOKUP($A176,'[4]SEGUIMIENTO CONTRATOS 2018'!$A:$AJ,16,0)," ")</f>
        <v>Ocho (8) mensualidades vencidas, cada una por valor de TRES MILLONES SEISCIENTOS SETENTA Y TRES MIL PESOS ($3.673.000) M/CTE.</v>
      </c>
      <c r="AB176" s="698" t="str">
        <f>+IFERROR(VLOOKUP($A176,'[4]SEGUIMIENTO CONTRATOS 2018'!$A:$AL,38,0)," ")</f>
        <v>12218</v>
      </c>
      <c r="AC176" s="698" t="str">
        <f>+IFERROR(VLOOKUP($A176,'[4]SEGUIMIENTO CONTRATOS 2018'!$A:$AJ,24,0)," ")</f>
        <v>Ocho (8) meses, contados a partir del perfeccionamiento del mismo y registro presupuestal.</v>
      </c>
      <c r="AD176" s="751">
        <f>+IFERROR(VLOOKUP($A176,'[4]SEGUIMIENTO CONTRATOS 2018'!$A:$AJ,25,0)," ")</f>
        <v>43117</v>
      </c>
      <c r="AE176" s="751">
        <f>+IFERROR(VLOOKUP($A176,'[4]SEGUIMIENTO CONTRATOS 2018'!$A:$AJ,26,0)," ")</f>
        <v>43359</v>
      </c>
      <c r="AF176" s="698" t="str">
        <f>+IFERROR(VLOOKUP($A176,'[4]SEGUIMIENTO CONTRATOS 2018'!$A:$AJ,30,0)," ")</f>
        <v xml:space="preserve">MARÍA DEL PILAR GARCÍA GONZÁLEZ   </v>
      </c>
      <c r="AG176" s="698" t="str">
        <f>+IFERROR(VLOOKUP($A176,'[4]SEGUIMIENTO CONTRATOS 2018'!$A:$AJ,31,0)," ")</f>
        <v>DIRECCION DE GESTION Y DESEMPEÑO INSTITUCIONAL</v>
      </c>
    </row>
    <row r="177" spans="1:33" ht="156" x14ac:dyDescent="0.25">
      <c r="A177" s="690">
        <f t="shared" si="6"/>
        <v>152</v>
      </c>
      <c r="B177" s="691" t="s">
        <v>267</v>
      </c>
      <c r="C177" s="692">
        <v>80101706</v>
      </c>
      <c r="D177" s="693" t="s">
        <v>644</v>
      </c>
      <c r="E177" s="691" t="s">
        <v>48</v>
      </c>
      <c r="F177" s="691">
        <v>1</v>
      </c>
      <c r="G177" s="694" t="s">
        <v>73</v>
      </c>
      <c r="H177" s="695">
        <v>8</v>
      </c>
      <c r="I177" s="691" t="s">
        <v>61</v>
      </c>
      <c r="J177" s="691" t="s">
        <v>66</v>
      </c>
      <c r="K177" s="691" t="s">
        <v>608</v>
      </c>
      <c r="L177" s="696">
        <v>15272000</v>
      </c>
      <c r="M177" s="697">
        <f t="shared" si="5"/>
        <v>15272000</v>
      </c>
      <c r="N177" s="691" t="s">
        <v>51</v>
      </c>
      <c r="O177" s="691" t="s">
        <v>36</v>
      </c>
      <c r="P177" s="691" t="s">
        <v>546</v>
      </c>
      <c r="Q177" s="80"/>
      <c r="R177" s="698" t="str">
        <f>+IFERROR(VLOOKUP($A177,'[4]SEGUIMIENTO CONTRATOS 2018'!$A:$AJ,2,0)," ")</f>
        <v>109-2018</v>
      </c>
      <c r="S177" s="698" t="str">
        <f>+IFERROR(VLOOKUP($A177,'[4]SEGUIMIENTO CONTRATOS 2018'!$A:$AJ,3,0)," ")</f>
        <v>CESAR ANDRES MARIN CAMACHO</v>
      </c>
      <c r="T177" s="751">
        <f>+IFERROR(VLOOKUP($A177,'[4]SEGUIMIENTO CONTRATOS 2018'!$A:$AJ,8,0)," ")</f>
        <v>43118</v>
      </c>
      <c r="U177" s="698" t="str">
        <f>+IFERROR(VLOOKUP($A177,'[4]SEGUIMIENTO CONTRATOS 2018'!$A:$AJ,9,0)," ")</f>
        <v>Prestar servicios de apoyo a la gestión en la Dirección de Gestión y Desempeño Institucional de Función Pública, para realizar las actividades necesarias, para el desarrollo de los eventos de asesoría y gestión, que se deriven de la implementación del Modelo Integrado de Planeación y Gestión (MIPG).</v>
      </c>
      <c r="V177" s="698" t="str">
        <f>+IFERROR(VLOOKUP($A177,'[4]SEGUIMIENTO CONTRATOS 2018'!$A:$AJ,11,0)," ")</f>
        <v>PRESTACION DE SERVICIOS DE APOYO A LA GESTION</v>
      </c>
      <c r="W177" s="752">
        <f>+IFERROR(VLOOKUP($A177,'[4]SEGUIMIENTO CONTRATOS 2018'!$A:$AJ,13,0),0)</f>
        <v>15272000</v>
      </c>
      <c r="X177" s="698">
        <f>+IFERROR(VLOOKUP($A177,'[4]SEGUIMIENTO CONTRATOS 2018'!$A:$AJ,14,0),0)</f>
        <v>0</v>
      </c>
      <c r="Y177" s="752">
        <f>+IFERROR(VLOOKUP($A177,'[4]SEGUIMIENTO CONTRATOS 2018'!$A:$AJ,15,0),0)</f>
        <v>15272000</v>
      </c>
      <c r="Z177" s="752">
        <f>+IFERROR(VLOOKUP($A177,'[4]SEGUIMIENTO CONTRATOS 2018'!$A:$AJ,15,0),0)</f>
        <v>15272000</v>
      </c>
      <c r="AA177" s="698" t="str">
        <f>+IFERROR(VLOOKUP($A177,'[4]SEGUIMIENTO CONTRATOS 2018'!$A:$AJ,16,0)," ")</f>
        <v>Ocho (8) mensualidades vencidas, cada una por valor de UN MILLÓN NOVECIENTOS NUEVE MIL PESOS ($1’909.000) M/CTE.</v>
      </c>
      <c r="AB177" s="698" t="str">
        <f>+IFERROR(VLOOKUP($A177,'[4]SEGUIMIENTO CONTRATOS 2018'!$A:$AL,38,0)," ")</f>
        <v>12318</v>
      </c>
      <c r="AC177" s="698" t="str">
        <f>+IFERROR(VLOOKUP($A177,'[4]SEGUIMIENTO CONTRATOS 2018'!$A:$AJ,24,0)," ")</f>
        <v>Ocho (8) meses, contado a partir del perfeccionamiento del mismo y registro presupuestal.</v>
      </c>
      <c r="AD177" s="751">
        <f>+IFERROR(VLOOKUP($A177,'[4]SEGUIMIENTO CONTRATOS 2018'!$A:$AJ,25,0)," ")</f>
        <v>43122</v>
      </c>
      <c r="AE177" s="751">
        <f>+IFERROR(VLOOKUP($A177,'[4]SEGUIMIENTO CONTRATOS 2018'!$A:$AJ,26,0)," ")</f>
        <v>43364</v>
      </c>
      <c r="AF177" s="698" t="str">
        <f>+IFERROR(VLOOKUP($A177,'[4]SEGUIMIENTO CONTRATOS 2018'!$A:$AJ,30,0)," ")</f>
        <v>DIANA MARIA CALDAS GUALTEROS</v>
      </c>
      <c r="AG177" s="698" t="str">
        <f>+IFERROR(VLOOKUP($A177,'[4]SEGUIMIENTO CONTRATOS 2018'!$A:$AJ,31,0)," ")</f>
        <v>DIRECCION DE GESTION Y DESEMPEÑO INSTITUCIONAL</v>
      </c>
    </row>
    <row r="178" spans="1:33" ht="117" x14ac:dyDescent="0.25">
      <c r="A178" s="690">
        <f t="shared" si="6"/>
        <v>153</v>
      </c>
      <c r="B178" s="691" t="s">
        <v>523</v>
      </c>
      <c r="C178" s="692">
        <v>80101706</v>
      </c>
      <c r="D178" s="693" t="s">
        <v>524</v>
      </c>
      <c r="E178" s="691" t="s">
        <v>48</v>
      </c>
      <c r="F178" s="691">
        <v>1</v>
      </c>
      <c r="G178" s="694" t="s">
        <v>73</v>
      </c>
      <c r="H178" s="695">
        <v>5</v>
      </c>
      <c r="I178" s="691" t="s">
        <v>61</v>
      </c>
      <c r="J178" s="691" t="s">
        <v>66</v>
      </c>
      <c r="K178" s="691" t="s">
        <v>608</v>
      </c>
      <c r="L178" s="696">
        <v>61800000</v>
      </c>
      <c r="M178" s="697">
        <f t="shared" si="5"/>
        <v>61800000</v>
      </c>
      <c r="N178" s="691" t="s">
        <v>51</v>
      </c>
      <c r="O178" s="691" t="s">
        <v>36</v>
      </c>
      <c r="P178" s="691" t="s">
        <v>525</v>
      </c>
      <c r="Q178" s="80"/>
      <c r="R178" s="698" t="str">
        <f>+IFERROR(VLOOKUP($A178,'[4]SEGUIMIENTO CONTRATOS 2018'!$A:$AJ,2,0)," ")</f>
        <v>118-2018</v>
      </c>
      <c r="S178" s="698" t="str">
        <f>+IFERROR(VLOOKUP($A178,'[4]SEGUIMIENTO CONTRATOS 2018'!$A:$AJ,3,0)," ")</f>
        <v>NOHORA MARCELA ACOSTA ORJUELA</v>
      </c>
      <c r="T178" s="751">
        <f>+IFERROR(VLOOKUP($A178,'[4]SEGUIMIENTO CONTRATOS 2018'!$A:$AJ,8,0)," ")</f>
        <v>43118</v>
      </c>
      <c r="U178" s="698" t="str">
        <f>+IFERROR(VLOOKUP($A178,'[4]SEGUIMIENTO CONTRATOS 2018'!$A:$AJ,9,0)," ")</f>
        <v>Prestar servicios profesionales en la Dirección de Desarrollo Organizacional de Función Pública, para apoyar la revisión de la Interacción institucional en los sectores asignados,  teniendo en cuenta los parametros definidos por la Entidad.</v>
      </c>
      <c r="V178" s="698" t="str">
        <f>+IFERROR(VLOOKUP($A178,'[4]SEGUIMIENTO CONTRATOS 2018'!$A:$AJ,11,0)," ")</f>
        <v>PRESTACION DE SERVICIOS PROFESIONALES</v>
      </c>
      <c r="W178" s="752">
        <f>+IFERROR(VLOOKUP($A178,'[4]SEGUIMIENTO CONTRATOS 2018'!$A:$AJ,13,0),0)</f>
        <v>61800000</v>
      </c>
      <c r="X178" s="698">
        <f>+IFERROR(VLOOKUP($A178,'[4]SEGUIMIENTO CONTRATOS 2018'!$A:$AJ,14,0),0)</f>
        <v>0</v>
      </c>
      <c r="Y178" s="752">
        <f>+IFERROR(VLOOKUP($A178,'[4]SEGUIMIENTO CONTRATOS 2018'!$A:$AJ,15,0),0)</f>
        <v>61800000</v>
      </c>
      <c r="Z178" s="752">
        <f>+IFERROR(VLOOKUP($A178,'[4]SEGUIMIENTO CONTRATOS 2018'!$A:$AJ,15,0),0)</f>
        <v>61800000</v>
      </c>
      <c r="AA178" s="698" t="str">
        <f>+IFERROR(VLOOKUP($A178,'[4]SEGUIMIENTO CONTRATOS 2018'!$A:$AJ,16,0)," ")</f>
        <v>Cinco (5) mensualidades vencidas, cada una por valor de DOCE MILLONES TRESCIENTOS SESENTA MIL PESOS ($12.360.000) M/CTE</v>
      </c>
      <c r="AB178" s="698" t="str">
        <f>+IFERROR(VLOOKUP($A178,'[4]SEGUIMIENTO CONTRATOS 2018'!$A:$AL,38,0)," ")</f>
        <v>12418</v>
      </c>
      <c r="AC178" s="698" t="str">
        <f>+IFERROR(VLOOKUP($A178,'[4]SEGUIMIENTO CONTRATOS 2018'!$A:$AJ,24,0)," ")</f>
        <v>Cinco (5) meses, contado a partir del perfeccionamiento del mismo y registro presupuestal.</v>
      </c>
      <c r="AD178" s="751">
        <f>+IFERROR(VLOOKUP($A178,'[4]SEGUIMIENTO CONTRATOS 2018'!$A:$AJ,25,0)," ")</f>
        <v>43122</v>
      </c>
      <c r="AE178" s="751">
        <f>+IFERROR(VLOOKUP($A178,'[4]SEGUIMIENTO CONTRATOS 2018'!$A:$AJ,26,0)," ")</f>
        <v>43272</v>
      </c>
      <c r="AF178" s="698" t="str">
        <f>+IFERROR(VLOOKUP($A178,'[4]SEGUIMIENTO CONTRATOS 2018'!$A:$AJ,30,0)," ")</f>
        <v xml:space="preserve">ALEJANDRO BECKER ROJAS </v>
      </c>
      <c r="AG178" s="698" t="str">
        <f>+IFERROR(VLOOKUP($A178,'[4]SEGUIMIENTO CONTRATOS 2018'!$A:$AJ,31,0)," ")</f>
        <v xml:space="preserve">DIRECCION DE DESARROLLO ORGANIZACIONAL  </v>
      </c>
    </row>
    <row r="179" spans="1:33" ht="117" x14ac:dyDescent="0.25">
      <c r="A179" s="690">
        <f t="shared" si="6"/>
        <v>154</v>
      </c>
      <c r="B179" s="691" t="s">
        <v>523</v>
      </c>
      <c r="C179" s="692">
        <v>80101706</v>
      </c>
      <c r="D179" s="693" t="s">
        <v>524</v>
      </c>
      <c r="E179" s="691" t="s">
        <v>48</v>
      </c>
      <c r="F179" s="691">
        <v>1</v>
      </c>
      <c r="G179" s="694" t="s">
        <v>73</v>
      </c>
      <c r="H179" s="695">
        <v>5</v>
      </c>
      <c r="I179" s="691" t="s">
        <v>61</v>
      </c>
      <c r="J179" s="691" t="s">
        <v>66</v>
      </c>
      <c r="K179" s="691" t="s">
        <v>608</v>
      </c>
      <c r="L179" s="696">
        <v>61800000</v>
      </c>
      <c r="M179" s="697">
        <f t="shared" si="5"/>
        <v>61800000</v>
      </c>
      <c r="N179" s="691" t="s">
        <v>51</v>
      </c>
      <c r="O179" s="691" t="s">
        <v>36</v>
      </c>
      <c r="P179" s="691" t="s">
        <v>525</v>
      </c>
      <c r="Q179" s="80"/>
      <c r="R179" s="698" t="str">
        <f>+IFERROR(VLOOKUP($A179,'[4]SEGUIMIENTO CONTRATOS 2018'!$A:$AJ,2,0)," ")</f>
        <v>114-2018</v>
      </c>
      <c r="S179" s="698" t="str">
        <f>+IFERROR(VLOOKUP($A179,'[4]SEGUIMIENTO CONTRATOS 2018'!$A:$AJ,3,0)," ")</f>
        <v>NORA ELIZABETH ZAMORA SANTACRUZ</v>
      </c>
      <c r="T179" s="751">
        <f>+IFERROR(VLOOKUP($A179,'[4]SEGUIMIENTO CONTRATOS 2018'!$A:$AJ,8,0)," ")</f>
        <v>43118</v>
      </c>
      <c r="U179" s="698" t="str">
        <f>+IFERROR(VLOOKUP($A179,'[4]SEGUIMIENTO CONTRATOS 2018'!$A:$AJ,9,0)," ")</f>
        <v>Prestar servicios profesionales en la Dirección de Desarrollo Organizacional de Función Pública, para apoyar la revisión de la Interacción institucional en los sectores asignados,  teniendo en cuenta los parametros definidos por la Entidad.</v>
      </c>
      <c r="V179" s="698" t="str">
        <f>+IFERROR(VLOOKUP($A179,'[4]SEGUIMIENTO CONTRATOS 2018'!$A:$AJ,11,0)," ")</f>
        <v>PRESTACION DE SERVICIOS PROFESIONALES</v>
      </c>
      <c r="W179" s="752">
        <f>+IFERROR(VLOOKUP($A179,'[4]SEGUIMIENTO CONTRATOS 2018'!$A:$AJ,13,0),0)</f>
        <v>61800000</v>
      </c>
      <c r="X179" s="698">
        <f>+IFERROR(VLOOKUP($A179,'[4]SEGUIMIENTO CONTRATOS 2018'!$A:$AJ,14,0),0)</f>
        <v>0</v>
      </c>
      <c r="Y179" s="752">
        <f>+IFERROR(VLOOKUP($A179,'[4]SEGUIMIENTO CONTRATOS 2018'!$A:$AJ,15,0),0)</f>
        <v>61800000</v>
      </c>
      <c r="Z179" s="752">
        <f>+IFERROR(VLOOKUP($A179,'[4]SEGUIMIENTO CONTRATOS 2018'!$A:$AJ,15,0),0)</f>
        <v>61800000</v>
      </c>
      <c r="AA179" s="698" t="str">
        <f>+IFERROR(VLOOKUP($A179,'[4]SEGUIMIENTO CONTRATOS 2018'!$A:$AJ,16,0)," ")</f>
        <v>Cinco (5) mensualidades vencidas, cada una por valor de DOCE MILLONES TRESCIENTOS SESENTA MIL PESOS ($12.360.000) M/CTE</v>
      </c>
      <c r="AB179" s="698" t="str">
        <f>+IFERROR(VLOOKUP($A179,'[4]SEGUIMIENTO CONTRATOS 2018'!$A:$AL,38,0)," ")</f>
        <v>12518</v>
      </c>
      <c r="AC179" s="698" t="str">
        <f>+IFERROR(VLOOKUP($A179,'[4]SEGUIMIENTO CONTRATOS 2018'!$A:$AJ,24,0)," ")</f>
        <v>Cinco (5) meses, contado a partir del perfeccionamiento del mismo y registro presupuestal.</v>
      </c>
      <c r="AD179" s="751">
        <f>+IFERROR(VLOOKUP($A179,'[4]SEGUIMIENTO CONTRATOS 2018'!$A:$AJ,25,0)," ")</f>
        <v>43122</v>
      </c>
      <c r="AE179" s="751">
        <f>+IFERROR(VLOOKUP($A179,'[4]SEGUIMIENTO CONTRATOS 2018'!$A:$AJ,26,0)," ")</f>
        <v>43272</v>
      </c>
      <c r="AF179" s="698" t="str">
        <f>+IFERROR(VLOOKUP($A179,'[4]SEGUIMIENTO CONTRATOS 2018'!$A:$AJ,30,0)," ")</f>
        <v xml:space="preserve">ALEJANDRO BECKER ROJAS </v>
      </c>
      <c r="AG179" s="698" t="str">
        <f>+IFERROR(VLOOKUP($A179,'[4]SEGUIMIENTO CONTRATOS 2018'!$A:$AJ,31,0)," ")</f>
        <v xml:space="preserve">DIRECCION DE DESARROLLO ORGANIZACIONAL  </v>
      </c>
    </row>
    <row r="180" spans="1:33" ht="117" x14ac:dyDescent="0.25">
      <c r="A180" s="690">
        <f t="shared" si="6"/>
        <v>155</v>
      </c>
      <c r="B180" s="691" t="s">
        <v>523</v>
      </c>
      <c r="C180" s="692">
        <v>80101706</v>
      </c>
      <c r="D180" s="693" t="s">
        <v>524</v>
      </c>
      <c r="E180" s="691" t="s">
        <v>48</v>
      </c>
      <c r="F180" s="691">
        <v>1</v>
      </c>
      <c r="G180" s="694" t="s">
        <v>73</v>
      </c>
      <c r="H180" s="695">
        <v>5</v>
      </c>
      <c r="I180" s="691" t="s">
        <v>61</v>
      </c>
      <c r="J180" s="691" t="s">
        <v>66</v>
      </c>
      <c r="K180" s="691" t="s">
        <v>608</v>
      </c>
      <c r="L180" s="696">
        <v>61800000</v>
      </c>
      <c r="M180" s="697">
        <f t="shared" si="5"/>
        <v>61800000</v>
      </c>
      <c r="N180" s="691" t="s">
        <v>51</v>
      </c>
      <c r="O180" s="691" t="s">
        <v>36</v>
      </c>
      <c r="P180" s="691" t="s">
        <v>525</v>
      </c>
      <c r="Q180" s="80"/>
      <c r="R180" s="698" t="str">
        <f>+IFERROR(VLOOKUP($A180,'[4]SEGUIMIENTO CONTRATOS 2018'!$A:$AJ,2,0)," ")</f>
        <v>115-2018</v>
      </c>
      <c r="S180" s="698" t="str">
        <f>+IFERROR(VLOOKUP($A180,'[4]SEGUIMIENTO CONTRATOS 2018'!$A:$AJ,3,0)," ")</f>
        <v>CAROLINA SANCHEZ BOHORQUEZ</v>
      </c>
      <c r="T180" s="751">
        <f>+IFERROR(VLOOKUP($A180,'[4]SEGUIMIENTO CONTRATOS 2018'!$A:$AJ,8,0)," ")</f>
        <v>43118</v>
      </c>
      <c r="U180" s="698" t="str">
        <f>+IFERROR(VLOOKUP($A180,'[4]SEGUIMIENTO CONTRATOS 2018'!$A:$AJ,9,0)," ")</f>
        <v>Prestar servicios profesionales en la Dirección de Desarrollo Organizacional de Función Pública, para apoyar la revisión de la Interacción institucional en los sectores asignados,  teniendo en cuenta los parametros definidos por la Entidad.</v>
      </c>
      <c r="V180" s="698" t="str">
        <f>+IFERROR(VLOOKUP($A180,'[4]SEGUIMIENTO CONTRATOS 2018'!$A:$AJ,11,0)," ")</f>
        <v>PRESTACION DE SERVICIOS PROFESIONALES</v>
      </c>
      <c r="W180" s="752">
        <f>+IFERROR(VLOOKUP($A180,'[4]SEGUIMIENTO CONTRATOS 2018'!$A:$AJ,13,0),0)</f>
        <v>61800000</v>
      </c>
      <c r="X180" s="698">
        <f>+IFERROR(VLOOKUP($A180,'[4]SEGUIMIENTO CONTRATOS 2018'!$A:$AJ,14,0),0)</f>
        <v>0</v>
      </c>
      <c r="Y180" s="752">
        <f>+IFERROR(VLOOKUP($A180,'[4]SEGUIMIENTO CONTRATOS 2018'!$A:$AJ,15,0),0)</f>
        <v>61800000</v>
      </c>
      <c r="Z180" s="752">
        <f>+IFERROR(VLOOKUP($A180,'[4]SEGUIMIENTO CONTRATOS 2018'!$A:$AJ,15,0),0)</f>
        <v>61800000</v>
      </c>
      <c r="AA180" s="698" t="str">
        <f>+IFERROR(VLOOKUP($A180,'[4]SEGUIMIENTO CONTRATOS 2018'!$A:$AJ,16,0)," ")</f>
        <v>Cinco (5) mensualidades vencidas, cada una por valor de DOCE MILLONES TRESCIENTOS SESENTA MIL PESOS ($12.360.000) M/CTE</v>
      </c>
      <c r="AB180" s="698" t="str">
        <f>+IFERROR(VLOOKUP($A180,'[4]SEGUIMIENTO CONTRATOS 2018'!$A:$AL,38,0)," ")</f>
        <v>12618</v>
      </c>
      <c r="AC180" s="698" t="str">
        <f>+IFERROR(VLOOKUP($A180,'[4]SEGUIMIENTO CONTRATOS 2018'!$A:$AJ,24,0)," ")</f>
        <v>Cinco (5) meses, contado a partir del perfeccionamiento del mismo y registro presupuestal.</v>
      </c>
      <c r="AD180" s="751">
        <f>+IFERROR(VLOOKUP($A180,'[4]SEGUIMIENTO CONTRATOS 2018'!$A:$AJ,25,0)," ")</f>
        <v>43122</v>
      </c>
      <c r="AE180" s="751">
        <f>+IFERROR(VLOOKUP($A180,'[4]SEGUIMIENTO CONTRATOS 2018'!$A:$AJ,26,0)," ")</f>
        <v>43272</v>
      </c>
      <c r="AF180" s="698" t="str">
        <f>+IFERROR(VLOOKUP($A180,'[4]SEGUIMIENTO CONTRATOS 2018'!$A:$AJ,30,0)," ")</f>
        <v xml:space="preserve">ALEJANDRO BECKER ROJAS </v>
      </c>
      <c r="AG180" s="698" t="str">
        <f>+IFERROR(VLOOKUP($A180,'[4]SEGUIMIENTO CONTRATOS 2018'!$A:$AJ,31,0)," ")</f>
        <v xml:space="preserve">DIRECCION DE DESARROLLO ORGANIZACIONAL  </v>
      </c>
    </row>
    <row r="181" spans="1:33" ht="117" x14ac:dyDescent="0.25">
      <c r="A181" s="690">
        <f t="shared" si="6"/>
        <v>156</v>
      </c>
      <c r="B181" s="691" t="s">
        <v>523</v>
      </c>
      <c r="C181" s="692">
        <v>80101706</v>
      </c>
      <c r="D181" s="693" t="s">
        <v>524</v>
      </c>
      <c r="E181" s="691" t="s">
        <v>48</v>
      </c>
      <c r="F181" s="691">
        <v>1</v>
      </c>
      <c r="G181" s="694" t="s">
        <v>73</v>
      </c>
      <c r="H181" s="695">
        <v>5</v>
      </c>
      <c r="I181" s="691" t="s">
        <v>61</v>
      </c>
      <c r="J181" s="691" t="s">
        <v>66</v>
      </c>
      <c r="K181" s="691" t="s">
        <v>608</v>
      </c>
      <c r="L181" s="696">
        <v>61800000</v>
      </c>
      <c r="M181" s="697">
        <f t="shared" si="5"/>
        <v>61800000</v>
      </c>
      <c r="N181" s="691" t="s">
        <v>51</v>
      </c>
      <c r="O181" s="691" t="s">
        <v>36</v>
      </c>
      <c r="P181" s="691" t="s">
        <v>525</v>
      </c>
      <c r="Q181" s="80"/>
      <c r="R181" s="698" t="str">
        <f>+IFERROR(VLOOKUP($A181,'[4]SEGUIMIENTO CONTRATOS 2018'!$A:$AJ,2,0)," ")</f>
        <v>116-2018</v>
      </c>
      <c r="S181" s="698" t="str">
        <f>+IFERROR(VLOOKUP($A181,'[4]SEGUIMIENTO CONTRATOS 2018'!$A:$AJ,3,0)," ")</f>
        <v>CLAUDIA PATRICIA HERNANDEZ DIAZ</v>
      </c>
      <c r="T181" s="751">
        <f>+IFERROR(VLOOKUP($A181,'[4]SEGUIMIENTO CONTRATOS 2018'!$A:$AJ,8,0)," ")</f>
        <v>43118</v>
      </c>
      <c r="U181" s="698" t="str">
        <f>+IFERROR(VLOOKUP($A181,'[4]SEGUIMIENTO CONTRATOS 2018'!$A:$AJ,9,0)," ")</f>
        <v>Prestar servicios profesionales en la Dirección de Desarrollo Organizacional de Función Pública, para apoyar la revisión de la Interacción institucional en los sectores asignados,  teniendo en cuenta los parametros definidos por la Entidad.</v>
      </c>
      <c r="V181" s="698" t="str">
        <f>+IFERROR(VLOOKUP($A181,'[4]SEGUIMIENTO CONTRATOS 2018'!$A:$AJ,11,0)," ")</f>
        <v>PRESTACION DE SERVICIOS PROFESIONALES</v>
      </c>
      <c r="W181" s="752">
        <f>+IFERROR(VLOOKUP($A181,'[4]SEGUIMIENTO CONTRATOS 2018'!$A:$AJ,13,0),0)</f>
        <v>61800000</v>
      </c>
      <c r="X181" s="698">
        <f>+IFERROR(VLOOKUP($A181,'[4]SEGUIMIENTO CONTRATOS 2018'!$A:$AJ,14,0),0)</f>
        <v>0</v>
      </c>
      <c r="Y181" s="752">
        <f>+IFERROR(VLOOKUP($A181,'[4]SEGUIMIENTO CONTRATOS 2018'!$A:$AJ,15,0),0)</f>
        <v>61800000</v>
      </c>
      <c r="Z181" s="752">
        <f>+IFERROR(VLOOKUP($A181,'[4]SEGUIMIENTO CONTRATOS 2018'!$A:$AJ,15,0),0)</f>
        <v>61800000</v>
      </c>
      <c r="AA181" s="698" t="str">
        <f>+IFERROR(VLOOKUP($A181,'[4]SEGUIMIENTO CONTRATOS 2018'!$A:$AJ,16,0)," ")</f>
        <v>Cinco (5) mensualidades vencidas, cada una por valor de DOCE MILLONES TRESCIENTOS SESENTA MIL PESOS ($12.360.000) M/CTE</v>
      </c>
      <c r="AB181" s="698" t="str">
        <f>+IFERROR(VLOOKUP($A181,'[4]SEGUIMIENTO CONTRATOS 2018'!$A:$AL,38,0)," ")</f>
        <v>12718</v>
      </c>
      <c r="AC181" s="698" t="str">
        <f>+IFERROR(VLOOKUP($A181,'[4]SEGUIMIENTO CONTRATOS 2018'!$A:$AJ,24,0)," ")</f>
        <v>Cinco (5) meses, contado a partir del perfeccionamiento del mismo y registro presupuestal.</v>
      </c>
      <c r="AD181" s="751">
        <f>+IFERROR(VLOOKUP($A181,'[4]SEGUIMIENTO CONTRATOS 2018'!$A:$AJ,25,0)," ")</f>
        <v>43122</v>
      </c>
      <c r="AE181" s="751">
        <f>+IFERROR(VLOOKUP($A181,'[4]SEGUIMIENTO CONTRATOS 2018'!$A:$AJ,26,0)," ")</f>
        <v>43272</v>
      </c>
      <c r="AF181" s="698" t="str">
        <f>+IFERROR(VLOOKUP($A181,'[4]SEGUIMIENTO CONTRATOS 2018'!$A:$AJ,30,0)," ")</f>
        <v xml:space="preserve">ALEJANDRO BECKER ROJAS </v>
      </c>
      <c r="AG181" s="698" t="str">
        <f>+IFERROR(VLOOKUP($A181,'[4]SEGUIMIENTO CONTRATOS 2018'!$A:$AJ,31,0)," ")</f>
        <v xml:space="preserve">DIRECCION DE DESARROLLO ORGANIZACIONAL  </v>
      </c>
    </row>
    <row r="182" spans="1:33" ht="117" x14ac:dyDescent="0.25">
      <c r="A182" s="690">
        <f t="shared" si="6"/>
        <v>157</v>
      </c>
      <c r="B182" s="691" t="s">
        <v>171</v>
      </c>
      <c r="C182" s="692">
        <v>80101706</v>
      </c>
      <c r="D182" s="693" t="s">
        <v>536</v>
      </c>
      <c r="E182" s="691" t="s">
        <v>48</v>
      </c>
      <c r="F182" s="691">
        <v>1</v>
      </c>
      <c r="G182" s="694" t="s">
        <v>73</v>
      </c>
      <c r="H182" s="695">
        <v>8</v>
      </c>
      <c r="I182" s="691" t="s">
        <v>61</v>
      </c>
      <c r="J182" s="691" t="s">
        <v>66</v>
      </c>
      <c r="K182" s="691" t="s">
        <v>608</v>
      </c>
      <c r="L182" s="696">
        <v>35616000</v>
      </c>
      <c r="M182" s="697">
        <f t="shared" si="5"/>
        <v>35616000</v>
      </c>
      <c r="N182" s="691" t="s">
        <v>51</v>
      </c>
      <c r="O182" s="691" t="s">
        <v>36</v>
      </c>
      <c r="P182" s="691" t="s">
        <v>535</v>
      </c>
      <c r="Q182" s="80"/>
      <c r="R182" s="698" t="str">
        <f>+IFERROR(VLOOKUP($A182,'[4]SEGUIMIENTO CONTRATOS 2018'!$A:$AJ,2,0)," ")</f>
        <v>067-2018</v>
      </c>
      <c r="S182" s="698" t="str">
        <f>+IFERROR(VLOOKUP($A182,'[4]SEGUIMIENTO CONTRATOS 2018'!$A:$AJ,3,0)," ")</f>
        <v>DIANA ELIZABETH SALINAS GUTIERREZ</v>
      </c>
      <c r="T182" s="751">
        <f>+IFERROR(VLOOKUP($A182,'[4]SEGUIMIENTO CONTRATOS 2018'!$A:$AJ,8,0)," ")</f>
        <v>43112</v>
      </c>
      <c r="U182" s="698" t="str">
        <f>+IFERROR(VLOOKUP($A182,'[4]SEGUIMIENTO CONTRATOS 2018'!$A:$AJ,9,0)," ")</f>
        <v>Prestar servicios profesionales en la Direccion Juridica  de Función Pública para apoya la estructuración, publicación, depuración y/o actalización de los contenidos del Gestor Normativo de la Entidad.</v>
      </c>
      <c r="V182" s="698" t="str">
        <f>+IFERROR(VLOOKUP($A182,'[4]SEGUIMIENTO CONTRATOS 2018'!$A:$AJ,11,0)," ")</f>
        <v>PRESTACION DE SERVICIOS PROFESIONALES</v>
      </c>
      <c r="W182" s="752">
        <f>+IFERROR(VLOOKUP($A182,'[4]SEGUIMIENTO CONTRATOS 2018'!$A:$AJ,13,0),0)</f>
        <v>35616000</v>
      </c>
      <c r="X182" s="698">
        <f>+IFERROR(VLOOKUP($A182,'[4]SEGUIMIENTO CONTRATOS 2018'!$A:$AJ,14,0),0)</f>
        <v>0</v>
      </c>
      <c r="Y182" s="752">
        <f>+IFERROR(VLOOKUP($A182,'[4]SEGUIMIENTO CONTRATOS 2018'!$A:$AJ,15,0),0)</f>
        <v>35616000</v>
      </c>
      <c r="Z182" s="752">
        <f>+IFERROR(VLOOKUP($A182,'[4]SEGUIMIENTO CONTRATOS 2018'!$A:$AJ,15,0),0)</f>
        <v>35616000</v>
      </c>
      <c r="AA182" s="698" t="str">
        <f>+IFERROR(VLOOKUP($A182,'[4]SEGUIMIENTO CONTRATOS 2018'!$A:$AJ,16,0)," ")</f>
        <v>Ocho (8) mensualidades vencidas, cada una por valor de CUATRO MILLONES CUATROCIENTOS CINCUENTA Y DOS MIL PESOS ($4’452.000) M/CTE.</v>
      </c>
      <c r="AB182" s="698" t="str">
        <f>+IFERROR(VLOOKUP($A182,'[4]SEGUIMIENTO CONTRATOS 2018'!$A:$AL,38,0)," ")</f>
        <v>12818</v>
      </c>
      <c r="AC182" s="698" t="str">
        <f>+IFERROR(VLOOKUP($A182,'[4]SEGUIMIENTO CONTRATOS 2018'!$A:$AJ,24,0)," ")</f>
        <v>Ocho (08) meses, contado a partir del perfeccionamiento del mismo y registro presupuestal.</v>
      </c>
      <c r="AD182" s="751">
        <f>+IFERROR(VLOOKUP($A182,'[4]SEGUIMIENTO CONTRATOS 2018'!$A:$AJ,25,0)," ")</f>
        <v>43116</v>
      </c>
      <c r="AE182" s="751">
        <f>+IFERROR(VLOOKUP($A182,'[4]SEGUIMIENTO CONTRATOS 2018'!$A:$AJ,26,0)," ")</f>
        <v>43358</v>
      </c>
      <c r="AF182" s="698" t="str">
        <f>+IFERROR(VLOOKUP($A182,'[4]SEGUIMIENTO CONTRATOS 2018'!$A:$AJ,30,0)," ")</f>
        <v>LUIS FERNANDO NUÑEZ RINCÓN</v>
      </c>
      <c r="AG182" s="698" t="str">
        <f>+IFERROR(VLOOKUP($A182,'[4]SEGUIMIENTO CONTRATOS 2018'!$A:$AJ,31,0)," ")</f>
        <v>DIRECCION JURIDICA</v>
      </c>
    </row>
    <row r="183" spans="1:33" ht="117" x14ac:dyDescent="0.25">
      <c r="A183" s="690">
        <f t="shared" si="6"/>
        <v>158</v>
      </c>
      <c r="B183" s="691" t="s">
        <v>171</v>
      </c>
      <c r="C183" s="692">
        <v>80101706</v>
      </c>
      <c r="D183" s="693" t="s">
        <v>536</v>
      </c>
      <c r="E183" s="691" t="s">
        <v>48</v>
      </c>
      <c r="F183" s="691">
        <v>1</v>
      </c>
      <c r="G183" s="694" t="s">
        <v>73</v>
      </c>
      <c r="H183" s="695">
        <v>8</v>
      </c>
      <c r="I183" s="691" t="s">
        <v>61</v>
      </c>
      <c r="J183" s="691" t="s">
        <v>66</v>
      </c>
      <c r="K183" s="691" t="s">
        <v>608</v>
      </c>
      <c r="L183" s="696">
        <v>35616000</v>
      </c>
      <c r="M183" s="697">
        <f t="shared" si="5"/>
        <v>35616000</v>
      </c>
      <c r="N183" s="691" t="s">
        <v>51</v>
      </c>
      <c r="O183" s="691" t="s">
        <v>36</v>
      </c>
      <c r="P183" s="691" t="s">
        <v>535</v>
      </c>
      <c r="Q183" s="80"/>
      <c r="R183" s="698" t="str">
        <f>+IFERROR(VLOOKUP($A183,'[4]SEGUIMIENTO CONTRATOS 2018'!$A:$AJ,2,0)," ")</f>
        <v>108-2018</v>
      </c>
      <c r="S183" s="698" t="str">
        <f>+IFERROR(VLOOKUP($A183,'[4]SEGUIMIENTO CONTRATOS 2018'!$A:$AJ,3,0)," ")</f>
        <v>JORGE ANDRES ROJAS URREA</v>
      </c>
      <c r="T183" s="751">
        <f>+IFERROR(VLOOKUP($A183,'[4]SEGUIMIENTO CONTRATOS 2018'!$A:$AJ,8,0)," ")</f>
        <v>43118</v>
      </c>
      <c r="U183" s="698" t="str">
        <f>+IFERROR(VLOOKUP($A183,'[4]SEGUIMIENTO CONTRATOS 2018'!$A:$AJ,9,0)," ")</f>
        <v>Prestar servicios profesionales en la Dirección Juridica de Función Pública para apoyar la estructuración, publicación, depuración y/o actualización de los contenidos del Gestor Normativo de la Entidad.</v>
      </c>
      <c r="V183" s="698" t="str">
        <f>+IFERROR(VLOOKUP($A183,'[4]SEGUIMIENTO CONTRATOS 2018'!$A:$AJ,11,0)," ")</f>
        <v>PRESTACION DE SERVICIOS PROFESIONALES</v>
      </c>
      <c r="W183" s="752">
        <f>+IFERROR(VLOOKUP($A183,'[4]SEGUIMIENTO CONTRATOS 2018'!$A:$AJ,13,0),0)</f>
        <v>35616000</v>
      </c>
      <c r="X183" s="698">
        <f>+IFERROR(VLOOKUP($A183,'[4]SEGUIMIENTO CONTRATOS 2018'!$A:$AJ,14,0),0)</f>
        <v>0</v>
      </c>
      <c r="Y183" s="752">
        <f>+IFERROR(VLOOKUP($A183,'[4]SEGUIMIENTO CONTRATOS 2018'!$A:$AJ,15,0),0)</f>
        <v>35616000</v>
      </c>
      <c r="Z183" s="752">
        <f>+IFERROR(VLOOKUP($A183,'[4]SEGUIMIENTO CONTRATOS 2018'!$A:$AJ,15,0),0)</f>
        <v>35616000</v>
      </c>
      <c r="AA183" s="698" t="str">
        <f>+IFERROR(VLOOKUP($A183,'[4]SEGUIMIENTO CONTRATOS 2018'!$A:$AJ,16,0)," ")</f>
        <v>Ocho (8) mensualidades vencidas, cada una por valor de CUATRO MILLONES CUATROCIENTOS CINCUENTA Y DOS MIL PESOS ($4.452.000) M/CTE</v>
      </c>
      <c r="AB183" s="698" t="str">
        <f>+IFERROR(VLOOKUP($A183,'[4]SEGUIMIENTO CONTRATOS 2018'!$A:$AL,38,0)," ")</f>
        <v>12918</v>
      </c>
      <c r="AC183" s="698" t="str">
        <f>+IFERROR(VLOOKUP($A183,'[4]SEGUIMIENTO CONTRATOS 2018'!$A:$AJ,24,0)," ")</f>
        <v>Ocho (8) meses, contado a partir del perfeccionamiento del mismo y registro presupuestal.</v>
      </c>
      <c r="AD183" s="751">
        <f>+IFERROR(VLOOKUP($A183,'[4]SEGUIMIENTO CONTRATOS 2018'!$A:$AJ,25,0)," ")</f>
        <v>43122</v>
      </c>
      <c r="AE183" s="751">
        <f>+IFERROR(VLOOKUP($A183,'[4]SEGUIMIENTO CONTRATOS 2018'!$A:$AJ,26,0)," ")</f>
        <v>43364</v>
      </c>
      <c r="AF183" s="698" t="str">
        <f>+IFERROR(VLOOKUP($A183,'[4]SEGUIMIENTO CONTRATOS 2018'!$A:$AJ,30,0)," ")</f>
        <v xml:space="preserve">LUIS FERNANDO NUÑEZ RINCÓN </v>
      </c>
      <c r="AG183" s="698" t="str">
        <f>+IFERROR(VLOOKUP($A183,'[4]SEGUIMIENTO CONTRATOS 2018'!$A:$AJ,31,0)," ")</f>
        <v>DIRECCION JURIDICA</v>
      </c>
    </row>
    <row r="184" spans="1:33" ht="117" x14ac:dyDescent="0.25">
      <c r="A184" s="690">
        <f t="shared" si="6"/>
        <v>159</v>
      </c>
      <c r="B184" s="691" t="s">
        <v>171</v>
      </c>
      <c r="C184" s="692">
        <v>80101706</v>
      </c>
      <c r="D184" s="693" t="s">
        <v>536</v>
      </c>
      <c r="E184" s="691" t="s">
        <v>48</v>
      </c>
      <c r="F184" s="691">
        <v>1</v>
      </c>
      <c r="G184" s="694" t="s">
        <v>73</v>
      </c>
      <c r="H184" s="695">
        <v>8</v>
      </c>
      <c r="I184" s="691" t="s">
        <v>61</v>
      </c>
      <c r="J184" s="691" t="s">
        <v>66</v>
      </c>
      <c r="K184" s="691" t="s">
        <v>608</v>
      </c>
      <c r="L184" s="696">
        <v>35616000</v>
      </c>
      <c r="M184" s="697">
        <f t="shared" si="5"/>
        <v>35616000</v>
      </c>
      <c r="N184" s="691" t="s">
        <v>51</v>
      </c>
      <c r="O184" s="691" t="s">
        <v>36</v>
      </c>
      <c r="P184" s="691" t="s">
        <v>535</v>
      </c>
      <c r="Q184" s="80"/>
      <c r="R184" s="698" t="str">
        <f>+IFERROR(VLOOKUP($A184,'[4]SEGUIMIENTO CONTRATOS 2018'!$A:$AJ,2,0)," ")</f>
        <v>112-2018</v>
      </c>
      <c r="S184" s="698" t="str">
        <f>+IFERROR(VLOOKUP($A184,'[4]SEGUIMIENTO CONTRATOS 2018'!$A:$AJ,3,0)," ")</f>
        <v>SANDRA LUCIA BARRIGA MORENO</v>
      </c>
      <c r="T184" s="751">
        <f>+IFERROR(VLOOKUP($A184,'[4]SEGUIMIENTO CONTRATOS 2018'!$A:$AJ,8,0)," ")</f>
        <v>43118</v>
      </c>
      <c r="U184" s="698" t="str">
        <f>+IFERROR(VLOOKUP($A184,'[4]SEGUIMIENTO CONTRATOS 2018'!$A:$AJ,9,0)," ")</f>
        <v>Prestar servicios profesionales en la Dirección Juridica de Función Pública para apoyar la estructuración, publicación, depuración y/o actualización de los contenidos del Gestor Normativo de la Entidad.</v>
      </c>
      <c r="V184" s="698" t="str">
        <f>+IFERROR(VLOOKUP($A184,'[4]SEGUIMIENTO CONTRATOS 2018'!$A:$AJ,11,0)," ")</f>
        <v>PRESTACION DE SERVICIOS PROFESIONALES</v>
      </c>
      <c r="W184" s="752">
        <f>+IFERROR(VLOOKUP($A184,'[4]SEGUIMIENTO CONTRATOS 2018'!$A:$AJ,13,0),0)</f>
        <v>35616000</v>
      </c>
      <c r="X184" s="698">
        <f>+IFERROR(VLOOKUP($A184,'[4]SEGUIMIENTO CONTRATOS 2018'!$A:$AJ,14,0),0)</f>
        <v>0</v>
      </c>
      <c r="Y184" s="752">
        <f>+IFERROR(VLOOKUP($A184,'[4]SEGUIMIENTO CONTRATOS 2018'!$A:$AJ,15,0),0)</f>
        <v>35616000</v>
      </c>
      <c r="Z184" s="752">
        <f>+IFERROR(VLOOKUP($A184,'[4]SEGUIMIENTO CONTRATOS 2018'!$A:$AJ,15,0),0)</f>
        <v>35616000</v>
      </c>
      <c r="AA184" s="698" t="str">
        <f>+IFERROR(VLOOKUP($A184,'[4]SEGUIMIENTO CONTRATOS 2018'!$A:$AJ,16,0)," ")</f>
        <v>Ocho (8) mensualidades vencidas, cada una por valor de CUATRO MILLONES CUATROCIENTOS CINCUENTA Y DOS MIL PESOS ($4.452.000) M/CTE</v>
      </c>
      <c r="AB184" s="698" t="str">
        <f>+IFERROR(VLOOKUP($A184,'[4]SEGUIMIENTO CONTRATOS 2018'!$A:$AL,38,0)," ")</f>
        <v>13018</v>
      </c>
      <c r="AC184" s="698" t="str">
        <f>+IFERROR(VLOOKUP($A184,'[4]SEGUIMIENTO CONTRATOS 2018'!$A:$AJ,24,0)," ")</f>
        <v>Ocho (8) meses, contado a partir del perfeccionamiento del mismo y registro presupuestal.</v>
      </c>
      <c r="AD184" s="751">
        <f>+IFERROR(VLOOKUP($A184,'[4]SEGUIMIENTO CONTRATOS 2018'!$A:$AJ,25,0)," ")</f>
        <v>43122</v>
      </c>
      <c r="AE184" s="751">
        <f>+IFERROR(VLOOKUP($A184,'[4]SEGUIMIENTO CONTRATOS 2018'!$A:$AJ,26,0)," ")</f>
        <v>43364</v>
      </c>
      <c r="AF184" s="698" t="str">
        <f>+IFERROR(VLOOKUP($A184,'[4]SEGUIMIENTO CONTRATOS 2018'!$A:$AJ,30,0)," ")</f>
        <v xml:space="preserve">LUIS FERNANDO NUÑEZ RINCÓN </v>
      </c>
      <c r="AG184" s="698" t="str">
        <f>+IFERROR(VLOOKUP($A184,'[4]SEGUIMIENTO CONTRATOS 2018'!$A:$AJ,31,0)," ")</f>
        <v>DIRECCION JURIDICA</v>
      </c>
    </row>
    <row r="185" spans="1:33" ht="195" x14ac:dyDescent="0.25">
      <c r="A185" s="690">
        <f t="shared" si="6"/>
        <v>160</v>
      </c>
      <c r="B185" s="691" t="s">
        <v>171</v>
      </c>
      <c r="C185" s="692">
        <v>80101706</v>
      </c>
      <c r="D185" s="693" t="s">
        <v>536</v>
      </c>
      <c r="E185" s="691" t="s">
        <v>48</v>
      </c>
      <c r="F185" s="691">
        <v>1</v>
      </c>
      <c r="G185" s="694" t="s">
        <v>73</v>
      </c>
      <c r="H185" s="695">
        <v>8</v>
      </c>
      <c r="I185" s="691" t="s">
        <v>61</v>
      </c>
      <c r="J185" s="691" t="s">
        <v>66</v>
      </c>
      <c r="K185" s="691" t="s">
        <v>608</v>
      </c>
      <c r="L185" s="696">
        <v>48000000</v>
      </c>
      <c r="M185" s="697">
        <v>48000000</v>
      </c>
      <c r="N185" s="691" t="s">
        <v>51</v>
      </c>
      <c r="O185" s="691" t="s">
        <v>36</v>
      </c>
      <c r="P185" s="691" t="s">
        <v>535</v>
      </c>
      <c r="Q185" s="80"/>
      <c r="R185" s="698" t="str">
        <f>+IFERROR(VLOOKUP($A185,'[4]SEGUIMIENTO CONTRATOS 2018'!$A:$AJ,2,0)," ")</f>
        <v>139-2018</v>
      </c>
      <c r="S185" s="698" t="str">
        <f>+IFERROR(VLOOKUP($A185,'[4]SEGUIMIENTO CONTRATOS 2018'!$A:$AJ,3,0)," ")</f>
        <v>MYRIAM ALINA ORMAZA ARANGO</v>
      </c>
      <c r="T185" s="751">
        <f>+IFERROR(VLOOKUP($A185,'[4]SEGUIMIENTO CONTRATOS 2018'!$A:$AJ,8,0)," ")</f>
        <v>43125</v>
      </c>
      <c r="U185" s="698" t="str">
        <f>+IFERROR(VLOOKUP($A185,'[4]SEGUIMIENTO CONTRATOS 2018'!$A:$AJ,9,0)," ")</f>
        <v>Prestar servicios profesionales en la Dirección Jurídica de Función Pública para apoyar la proyección y producción de conceptos en materia de inhabilidades e incompatibilidades, conflictos de interés, proyectos de ley que cursan en el Congreso de la República, ley de garantías electorales, ingreso, permanencia y retiro del servicio, estructura del estado y situaciones relacionadas con el desarrollo territorial.</v>
      </c>
      <c r="V185" s="698" t="str">
        <f>+IFERROR(VLOOKUP($A185,'[4]SEGUIMIENTO CONTRATOS 2018'!$A:$AJ,11,0)," ")</f>
        <v>PRESTACION DE SERVICIOS PROFESIONALES</v>
      </c>
      <c r="W185" s="752">
        <f>+IFERROR(VLOOKUP($A185,'[4]SEGUIMIENTO CONTRATOS 2018'!$A:$AJ,13,0),0)</f>
        <v>48000000</v>
      </c>
      <c r="X185" s="698">
        <f>+IFERROR(VLOOKUP($A185,'[4]SEGUIMIENTO CONTRATOS 2018'!$A:$AJ,14,0),0)</f>
        <v>0</v>
      </c>
      <c r="Y185" s="752">
        <f>+IFERROR(VLOOKUP($A185,'[4]SEGUIMIENTO CONTRATOS 2018'!$A:$AJ,15,0),0)</f>
        <v>48000000</v>
      </c>
      <c r="Z185" s="752">
        <f>+IFERROR(VLOOKUP($A185,'[4]SEGUIMIENTO CONTRATOS 2018'!$A:$AJ,15,0),0)</f>
        <v>48000000</v>
      </c>
      <c r="AA185" s="698" t="str">
        <f>+IFERROR(VLOOKUP($A185,'[4]SEGUIMIENTO CONTRATOS 2018'!$A:$AJ,16,0)," ")</f>
        <v>Ocho (8) mensualidades vencidas, cada una por valor de SEIS MILLONES DE PESOS ($6.000.000) M/CTE.</v>
      </c>
      <c r="AB185" s="698" t="str">
        <f>+IFERROR(VLOOKUP($A185,'[4]SEGUIMIENTO CONTRATOS 2018'!$A:$AL,38,0)," ")</f>
        <v>13118</v>
      </c>
      <c r="AC185" s="698" t="str">
        <f>+IFERROR(VLOOKUP($A185,'[4]SEGUIMIENTO CONTRATOS 2018'!$A:$AJ,24,0)," ")</f>
        <v>Ocho (8) meses, contado a partir del perfeccionamiento del mismo y registro presupuestal.</v>
      </c>
      <c r="AD185" s="751">
        <f>+IFERROR(VLOOKUP($A185,'[4]SEGUIMIENTO CONTRATOS 2018'!$A:$AJ,25,0)," ")</f>
        <v>43126</v>
      </c>
      <c r="AE185" s="751">
        <f>+IFERROR(VLOOKUP($A185,'[4]SEGUIMIENTO CONTRATOS 2018'!$A:$AJ,26,0)," ")</f>
        <v>43368</v>
      </c>
      <c r="AF185" s="698" t="str">
        <f>+IFERROR(VLOOKUP($A185,'[4]SEGUIMIENTO CONTRATOS 2018'!$A:$AJ,30,0)," ")</f>
        <v>JOSE FERNANDO CEBALLOS ARROYAVE</v>
      </c>
      <c r="AG185" s="698" t="str">
        <f>+IFERROR(VLOOKUP($A185,'[4]SEGUIMIENTO CONTRATOS 2018'!$A:$AJ,31,0)," ")</f>
        <v>DIRECCION JURIDICA</v>
      </c>
    </row>
    <row r="186" spans="1:33" ht="117" x14ac:dyDescent="0.25">
      <c r="A186" s="690">
        <f t="shared" si="6"/>
        <v>161</v>
      </c>
      <c r="B186" s="691" t="s">
        <v>171</v>
      </c>
      <c r="C186" s="692">
        <v>80101706</v>
      </c>
      <c r="D186" s="693" t="s">
        <v>536</v>
      </c>
      <c r="E186" s="691" t="s">
        <v>48</v>
      </c>
      <c r="F186" s="691">
        <v>1</v>
      </c>
      <c r="G186" s="694" t="s">
        <v>73</v>
      </c>
      <c r="H186" s="695">
        <v>8</v>
      </c>
      <c r="I186" s="691" t="s">
        <v>61</v>
      </c>
      <c r="J186" s="691" t="s">
        <v>66</v>
      </c>
      <c r="K186" s="691" t="s">
        <v>608</v>
      </c>
      <c r="L186" s="696">
        <v>35616000</v>
      </c>
      <c r="M186" s="697">
        <f t="shared" si="5"/>
        <v>35616000</v>
      </c>
      <c r="N186" s="691" t="s">
        <v>51</v>
      </c>
      <c r="O186" s="691" t="s">
        <v>36</v>
      </c>
      <c r="P186" s="691" t="s">
        <v>535</v>
      </c>
      <c r="Q186" s="80"/>
      <c r="R186" s="698" t="str">
        <f>+IFERROR(VLOOKUP($A186,'[4]SEGUIMIENTO CONTRATOS 2018'!$A:$AJ,2,0)," ")</f>
        <v>121-2018</v>
      </c>
      <c r="S186" s="698" t="str">
        <f>+IFERROR(VLOOKUP($A186,'[4]SEGUIMIENTO CONTRATOS 2018'!$A:$AJ,3,0)," ")</f>
        <v>DANIEL DE JESUS ESMERAL JARAMILLO</v>
      </c>
      <c r="T186" s="751">
        <f>+IFERROR(VLOOKUP($A186,'[4]SEGUIMIENTO CONTRATOS 2018'!$A:$AJ,8,0)," ")</f>
        <v>43119</v>
      </c>
      <c r="U186" s="698" t="str">
        <f>+IFERROR(VLOOKUP($A186,'[4]SEGUIMIENTO CONTRATOS 2018'!$A:$AJ,9,0)," ")</f>
        <v>Prestar servicios profesionales en la Dirección Juridica de la Función Pública, para apoyar la proyección de conceptos en materia de Derecho Laboral administrativo y situaciones relacionadas con el desempeño territorial.</v>
      </c>
      <c r="V186" s="698" t="str">
        <f>+IFERROR(VLOOKUP($A186,'[4]SEGUIMIENTO CONTRATOS 2018'!$A:$AJ,11,0)," ")</f>
        <v>PRESTACION DE SERVICIOS PROFESIONALES</v>
      </c>
      <c r="W186" s="752">
        <f>+IFERROR(VLOOKUP($A186,'[4]SEGUIMIENTO CONTRATOS 2018'!$A:$AJ,13,0),0)</f>
        <v>35616000</v>
      </c>
      <c r="X186" s="698">
        <f>+IFERROR(VLOOKUP($A186,'[4]SEGUIMIENTO CONTRATOS 2018'!$A:$AJ,14,0),0)</f>
        <v>0</v>
      </c>
      <c r="Y186" s="752">
        <f>+IFERROR(VLOOKUP($A186,'[4]SEGUIMIENTO CONTRATOS 2018'!$A:$AJ,15,0),0)</f>
        <v>35616000</v>
      </c>
      <c r="Z186" s="752">
        <f>+IFERROR(VLOOKUP($A186,'[4]SEGUIMIENTO CONTRATOS 2018'!$A:$AJ,15,0),0)</f>
        <v>35616000</v>
      </c>
      <c r="AA186" s="698" t="str">
        <f>+IFERROR(VLOOKUP($A186,'[4]SEGUIMIENTO CONTRATOS 2018'!$A:$AJ,16,0)," ")</f>
        <v>Ocho (8) mensualidades vencidas, cada una por valor de CUATRO MILLONES CUATROCIENTOS CINCUENTA Y DOS MIL PESOS ($4.452.000) M/CTE</v>
      </c>
      <c r="AB186" s="698" t="str">
        <f>+IFERROR(VLOOKUP($A186,'[4]SEGUIMIENTO CONTRATOS 2018'!$A:$AL,38,0)," ")</f>
        <v>13218</v>
      </c>
      <c r="AC186" s="698" t="str">
        <f>+IFERROR(VLOOKUP($A186,'[4]SEGUIMIENTO CONTRATOS 2018'!$A:$AJ,24,0)," ")</f>
        <v>Ocho (8) meses, contado a partir del perfeccionamiento del mismo y registro presupuestal.</v>
      </c>
      <c r="AD186" s="751">
        <f>+IFERROR(VLOOKUP($A186,'[4]SEGUIMIENTO CONTRATOS 2018'!$A:$AJ,25,0)," ")</f>
        <v>43122</v>
      </c>
      <c r="AE186" s="751">
        <f>+IFERROR(VLOOKUP($A186,'[4]SEGUIMIENTO CONTRATOS 2018'!$A:$AJ,26,0)," ")</f>
        <v>43364</v>
      </c>
      <c r="AF186" s="698" t="str">
        <f>+IFERROR(VLOOKUP($A186,'[4]SEGUIMIENTO CONTRATOS 2018'!$A:$AJ,30,0)," ")</f>
        <v>JOSE FERNANDO CEBALLOS ARROYAVE</v>
      </c>
      <c r="AG186" s="698" t="str">
        <f>+IFERROR(VLOOKUP($A186,'[4]SEGUIMIENTO CONTRATOS 2018'!$A:$AJ,31,0)," ")</f>
        <v>DIRECCION JURIDICA</v>
      </c>
    </row>
    <row r="187" spans="1:33" ht="136.5" x14ac:dyDescent="0.25">
      <c r="A187" s="690">
        <f t="shared" si="6"/>
        <v>162</v>
      </c>
      <c r="B187" s="691" t="s">
        <v>171</v>
      </c>
      <c r="C187" s="692">
        <v>80101706</v>
      </c>
      <c r="D187" s="693" t="s">
        <v>536</v>
      </c>
      <c r="E187" s="691" t="s">
        <v>48</v>
      </c>
      <c r="F187" s="691">
        <v>1</v>
      </c>
      <c r="G187" s="694" t="s">
        <v>73</v>
      </c>
      <c r="H187" s="695">
        <v>8</v>
      </c>
      <c r="I187" s="691" t="s">
        <v>61</v>
      </c>
      <c r="J187" s="691" t="s">
        <v>66</v>
      </c>
      <c r="K187" s="691" t="s">
        <v>608</v>
      </c>
      <c r="L187" s="696">
        <v>73484000</v>
      </c>
      <c r="M187" s="697">
        <f t="shared" si="5"/>
        <v>73484000</v>
      </c>
      <c r="N187" s="691" t="s">
        <v>51</v>
      </c>
      <c r="O187" s="691" t="s">
        <v>36</v>
      </c>
      <c r="P187" s="691" t="s">
        <v>535</v>
      </c>
      <c r="Q187" s="80"/>
      <c r="R187" s="698" t="str">
        <f>+IFERROR(VLOOKUP($A187,'[4]SEGUIMIENTO CONTRATOS 2018'!$A:$AJ,2,0)," ")</f>
        <v>062-2018</v>
      </c>
      <c r="S187" s="698" t="str">
        <f>+IFERROR(VLOOKUP($A187,'[4]SEGUIMIENTO CONTRATOS 2018'!$A:$AJ,3,0)," ")</f>
        <v>ARMANDO LOPEZ CORTES</v>
      </c>
      <c r="T187" s="751">
        <f>+IFERROR(VLOOKUP($A187,'[4]SEGUIMIENTO CONTRATOS 2018'!$A:$AJ,8,0)," ")</f>
        <v>43111</v>
      </c>
      <c r="U187" s="698" t="str">
        <f>+IFERROR(VLOOKUP($A187,'[4]SEGUIMIENTO CONTRATOS 2018'!$A:$AJ,9,0)," ")</f>
        <v>Prestar servicios profesionales en la Dirección Jurídica de Función Pública, para apoyar la depuración de contenidos, la revisión de restrictores, el seguimiento al proceso de registro de los documentos en el Gestor Normativo y el planteamiento de ajustes y propuestas de modificación.</v>
      </c>
      <c r="V187" s="698" t="str">
        <f>+IFERROR(VLOOKUP($A187,'[4]SEGUIMIENTO CONTRATOS 2018'!$A:$AJ,11,0)," ")</f>
        <v>PRESTACION DE SERVICIOS PROFESIONALES</v>
      </c>
      <c r="W187" s="752">
        <f>+IFERROR(VLOOKUP($A187,'[4]SEGUIMIENTO CONTRATOS 2018'!$A:$AJ,13,0),0)</f>
        <v>45927500</v>
      </c>
      <c r="X187" s="698">
        <f>+IFERROR(VLOOKUP($A187,'[4]SEGUIMIENTO CONTRATOS 2018'!$A:$AJ,14,0),0)</f>
        <v>0</v>
      </c>
      <c r="Y187" s="752">
        <f>+IFERROR(VLOOKUP($A187,'[4]SEGUIMIENTO CONTRATOS 2018'!$A:$AJ,15,0),0)</f>
        <v>45927500</v>
      </c>
      <c r="Z187" s="752">
        <f>+IFERROR(VLOOKUP($A187,'[4]SEGUIMIENTO CONTRATOS 2018'!$A:$AJ,15,0),0)</f>
        <v>45927500</v>
      </c>
      <c r="AA187" s="698" t="str">
        <f>+IFERROR(VLOOKUP($A187,'[4]SEGUIMIENTO CONTRATOS 2018'!$A:$AJ,16,0)," ")</f>
        <v>Cinco (5) mensualidades vencidas, cada una por valor de NUEVE MILLONES CIENTO OCHENTA Y CINCO MIL QUINIENTOS PESOS ($9’185.500) M/CTE</v>
      </c>
      <c r="AB187" s="698" t="str">
        <f>+IFERROR(VLOOKUP($A187,'[4]SEGUIMIENTO CONTRATOS 2018'!$A:$AL,38,0)," ")</f>
        <v>13318</v>
      </c>
      <c r="AC187" s="698" t="str">
        <f>+IFERROR(VLOOKUP($A187,'[4]SEGUIMIENTO CONTRATOS 2018'!$A:$AJ,24,0)," ")</f>
        <v>Cinco (05) meses, contado a partir del perfeccionamiento del mismo y registro presupuestal.</v>
      </c>
      <c r="AD187" s="751">
        <f>+IFERROR(VLOOKUP($A187,'[4]SEGUIMIENTO CONTRATOS 2018'!$A:$AJ,25,0)," ")</f>
        <v>43117</v>
      </c>
      <c r="AE187" s="751">
        <f>+IFERROR(VLOOKUP($A187,'[4]SEGUIMIENTO CONTRATOS 2018'!$A:$AJ,26,0)," ")</f>
        <v>43267</v>
      </c>
      <c r="AF187" s="698" t="str">
        <f>+IFERROR(VLOOKUP($A187,'[4]SEGUIMIENTO CONTRATOS 2018'!$A:$AJ,30,0)," ")</f>
        <v>LUIS FERNANDO NUÑEZ RINCÓN</v>
      </c>
      <c r="AG187" s="698" t="str">
        <f>+IFERROR(VLOOKUP($A187,'[4]SEGUIMIENTO CONTRATOS 2018'!$A:$AJ,31,0)," ")</f>
        <v>DIRECCION JURIDICA</v>
      </c>
    </row>
    <row r="188" spans="1:33" ht="116.25" x14ac:dyDescent="0.25">
      <c r="A188" s="690">
        <f t="shared" si="6"/>
        <v>163</v>
      </c>
      <c r="B188" s="691" t="s">
        <v>523</v>
      </c>
      <c r="C188" s="692">
        <v>80101706</v>
      </c>
      <c r="D188" s="693" t="s">
        <v>524</v>
      </c>
      <c r="E188" s="691" t="s">
        <v>48</v>
      </c>
      <c r="F188" s="691">
        <v>1</v>
      </c>
      <c r="G188" s="694" t="s">
        <v>73</v>
      </c>
      <c r="H188" s="695">
        <v>8</v>
      </c>
      <c r="I188" s="691" t="s">
        <v>61</v>
      </c>
      <c r="J188" s="691" t="s">
        <v>66</v>
      </c>
      <c r="K188" s="691" t="s">
        <v>617</v>
      </c>
      <c r="L188" s="696">
        <v>34720000</v>
      </c>
      <c r="M188" s="697">
        <f t="shared" si="5"/>
        <v>34720000</v>
      </c>
      <c r="N188" s="691" t="s">
        <v>51</v>
      </c>
      <c r="O188" s="691" t="s">
        <v>36</v>
      </c>
      <c r="P188" s="691" t="s">
        <v>525</v>
      </c>
      <c r="Q188" s="80"/>
      <c r="R188" s="698" t="str">
        <f>+IFERROR(VLOOKUP($A188,'[4]SEGUIMIENTO CONTRATOS 2018'!$A:$AJ,2,0)," ")</f>
        <v>093-2018</v>
      </c>
      <c r="S188" s="698" t="str">
        <f>+IFERROR(VLOOKUP($A188,'[4]SEGUIMIENTO CONTRATOS 2018'!$A:$AJ,3,0)," ")</f>
        <v>YULY VERONICA RUEDA PEREZ</v>
      </c>
      <c r="T188" s="751">
        <f>+IFERROR(VLOOKUP($A188,'[4]SEGUIMIENTO CONTRATOS 2018'!$A:$AJ,8,0)," ")</f>
        <v>43116</v>
      </c>
      <c r="U188" s="698" t="str">
        <f>+IFERROR(VLOOKUP($A188,'[4]SEGUIMIENTO CONTRATOS 2018'!$A:$AJ,9,0)," ")</f>
        <v>Prestar servicios profesionales en la Dirección de Desarrollo Organizacional de Función Pública, para apoyar las actividades que se generan en el desarrollo de la tercera fase de la Estrategia de Gestión Territorial.</v>
      </c>
      <c r="V188" s="698" t="str">
        <f>+IFERROR(VLOOKUP($A188,'[4]SEGUIMIENTO CONTRATOS 2018'!$A:$AJ,11,0)," ")</f>
        <v>PRESTACION DE SERVICIOS PROFESIONALES</v>
      </c>
      <c r="W188" s="752">
        <f>+IFERROR(VLOOKUP($A188,'[4]SEGUIMIENTO CONTRATOS 2018'!$A:$AJ,13,0),0)</f>
        <v>34720000</v>
      </c>
      <c r="X188" s="698">
        <f>+IFERROR(VLOOKUP($A188,'[4]SEGUIMIENTO CONTRATOS 2018'!$A:$AJ,14,0),0)</f>
        <v>0</v>
      </c>
      <c r="Y188" s="752">
        <f>+IFERROR(VLOOKUP($A188,'[4]SEGUIMIENTO CONTRATOS 2018'!$A:$AJ,15,0),0)</f>
        <v>34720000</v>
      </c>
      <c r="Z188" s="752">
        <f>+IFERROR(VLOOKUP($A188,'[4]SEGUIMIENTO CONTRATOS 2018'!$A:$AJ,15,0),0)</f>
        <v>34720000</v>
      </c>
      <c r="AA188" s="698" t="str">
        <f>+IFERROR(VLOOKUP($A188,'[4]SEGUIMIENTO CONTRATOS 2018'!$A:$AJ,16,0)," ")</f>
        <v>Ocho (8) mensualidades vencidas, cada una por valor de CUATRO MILLONES TRESCIENTOS CUARENTA MIL PESOS ($4’340.000) M/CTE</v>
      </c>
      <c r="AB188" s="698" t="str">
        <f>+IFERROR(VLOOKUP($A188,'[4]SEGUIMIENTO CONTRATOS 2018'!$A:$AL,38,0)," ")</f>
        <v>13418</v>
      </c>
      <c r="AC188" s="698" t="str">
        <f>+IFERROR(VLOOKUP($A188,'[4]SEGUIMIENTO CONTRATOS 2018'!$A:$AJ,24,0)," ")</f>
        <v>Ocho (8) meses, contado a partir del perfeccionamiento del mismo y registro presupuestal.</v>
      </c>
      <c r="AD188" s="751">
        <f>+IFERROR(VLOOKUP($A188,'[4]SEGUIMIENTO CONTRATOS 2018'!$A:$AJ,25,0)," ")</f>
        <v>43117</v>
      </c>
      <c r="AE188" s="751">
        <f>+IFERROR(VLOOKUP($A188,'[4]SEGUIMIENTO CONTRATOS 2018'!$A:$AJ,26,0)," ")</f>
        <v>43359</v>
      </c>
      <c r="AF188" s="698" t="str">
        <f>+IFERROR(VLOOKUP($A188,'[4]SEGUIMIENTO CONTRATOS 2018'!$A:$AJ,30,0)," ")</f>
        <v xml:space="preserve">ALEJANDRO BECKER ROJAS </v>
      </c>
      <c r="AG188" s="698" t="str">
        <f>+IFERROR(VLOOKUP($A188,'[4]SEGUIMIENTO CONTRATOS 2018'!$A:$AJ,31,0)," ")</f>
        <v xml:space="preserve">DIRECCION DE DESARROLLO ORGANIZACIONAL  </v>
      </c>
    </row>
    <row r="189" spans="1:33" ht="156" x14ac:dyDescent="0.25">
      <c r="A189" s="690">
        <f t="shared" si="6"/>
        <v>164</v>
      </c>
      <c r="B189" s="691" t="s">
        <v>523</v>
      </c>
      <c r="C189" s="692">
        <v>80101706</v>
      </c>
      <c r="D189" s="693" t="s">
        <v>524</v>
      </c>
      <c r="E189" s="691" t="s">
        <v>48</v>
      </c>
      <c r="F189" s="691">
        <v>1</v>
      </c>
      <c r="G189" s="694" t="s">
        <v>73</v>
      </c>
      <c r="H189" s="695">
        <v>8</v>
      </c>
      <c r="I189" s="691" t="s">
        <v>61</v>
      </c>
      <c r="J189" s="691" t="s">
        <v>66</v>
      </c>
      <c r="K189" s="691" t="s">
        <v>617</v>
      </c>
      <c r="L189" s="696">
        <v>32000000</v>
      </c>
      <c r="M189" s="697">
        <f t="shared" si="5"/>
        <v>32000000</v>
      </c>
      <c r="N189" s="691" t="s">
        <v>51</v>
      </c>
      <c r="O189" s="691" t="s">
        <v>36</v>
      </c>
      <c r="P189" s="691" t="s">
        <v>525</v>
      </c>
      <c r="Q189" s="80"/>
      <c r="R189" s="698" t="str">
        <f>+IFERROR(VLOOKUP($A189,'[4]SEGUIMIENTO CONTRATOS 2018'!$A:$AJ,2,0)," ")</f>
        <v>128-2018</v>
      </c>
      <c r="S189" s="698" t="str">
        <f>+IFERROR(VLOOKUP($A189,'[4]SEGUIMIENTO CONTRATOS 2018'!$A:$AJ,3,0)," ")</f>
        <v>GABRIEL HERNAN MOLANO</v>
      </c>
      <c r="T189" s="751">
        <f>+IFERROR(VLOOKUP($A189,'[4]SEGUIMIENTO CONTRATOS 2018'!$A:$AJ,8,0)," ")</f>
        <v>43122</v>
      </c>
      <c r="U189" s="698" t="str">
        <f>+IFERROR(VLOOKUP($A189,'[4]SEGUIMIENTO CONTRATOS 2018'!$A:$AJ,9,0)," ")</f>
        <v>Prestar servicios profesionales en la Dirección de Desarrollo Organizacional de Función Pública para apoyar el manejo, organización y presentación de la información, de las asesorías técnicas brindadas a las entidades territoriales, en la tercera fase de la Estrategia de Gestión Territorial.</v>
      </c>
      <c r="V189" s="698" t="str">
        <f>+IFERROR(VLOOKUP($A189,'[4]SEGUIMIENTO CONTRATOS 2018'!$A:$AJ,11,0)," ")</f>
        <v>PRESTACION DE SERVICIOS PROFESIONALES</v>
      </c>
      <c r="W189" s="752">
        <f>+IFERROR(VLOOKUP($A189,'[4]SEGUIMIENTO CONTRATOS 2018'!$A:$AJ,13,0),0)</f>
        <v>32000000</v>
      </c>
      <c r="X189" s="698">
        <f>+IFERROR(VLOOKUP($A189,'[4]SEGUIMIENTO CONTRATOS 2018'!$A:$AJ,14,0),0)</f>
        <v>0</v>
      </c>
      <c r="Y189" s="752">
        <f>+IFERROR(VLOOKUP($A189,'[4]SEGUIMIENTO CONTRATOS 2018'!$A:$AJ,15,0),0)</f>
        <v>32000000</v>
      </c>
      <c r="Z189" s="752">
        <f>+IFERROR(VLOOKUP($A189,'[4]SEGUIMIENTO CONTRATOS 2018'!$A:$AJ,15,0),0)</f>
        <v>32000000</v>
      </c>
      <c r="AA189" s="698" t="str">
        <f>+IFERROR(VLOOKUP($A189,'[4]SEGUIMIENTO CONTRATOS 2018'!$A:$AJ,16,0)," ")</f>
        <v>Ocho (8) mensualidades vencidas, cada una por valor de CUATRO MILLONES DE PESOS ($4´000.000) M/CTE.</v>
      </c>
      <c r="AB189" s="698" t="str">
        <f>+IFERROR(VLOOKUP($A189,'[4]SEGUIMIENTO CONTRATOS 2018'!$A:$AL,38,0)," ")</f>
        <v>13518</v>
      </c>
      <c r="AC189" s="698" t="str">
        <f>+IFERROR(VLOOKUP($A189,'[4]SEGUIMIENTO CONTRATOS 2018'!$A:$AJ,24,0)," ")</f>
        <v>Ocho (8) meses, contado a partir del perfeccionamiento del mismo y registro presupuestal.</v>
      </c>
      <c r="AD189" s="751">
        <f>+IFERROR(VLOOKUP($A189,'[4]SEGUIMIENTO CONTRATOS 2018'!$A:$AJ,25,0)," ")</f>
        <v>43124</v>
      </c>
      <c r="AE189" s="751">
        <f>+IFERROR(VLOOKUP($A189,'[4]SEGUIMIENTO CONTRATOS 2018'!$A:$AJ,26,0)," ")</f>
        <v>43366</v>
      </c>
      <c r="AF189" s="698" t="str">
        <f>+IFERROR(VLOOKUP($A189,'[4]SEGUIMIENTO CONTRATOS 2018'!$A:$AJ,30,0)," ")</f>
        <v xml:space="preserve">ALEJANDRO BECKER ROJAS </v>
      </c>
      <c r="AG189" s="698" t="str">
        <f>+IFERROR(VLOOKUP($A189,'[4]SEGUIMIENTO CONTRATOS 2018'!$A:$AJ,31,0)," ")</f>
        <v xml:space="preserve">DIRECCION DE DESARROLLO ORGANIZACIONAL  </v>
      </c>
    </row>
    <row r="190" spans="1:33" ht="117" x14ac:dyDescent="0.25">
      <c r="A190" s="690">
        <f t="shared" si="6"/>
        <v>165</v>
      </c>
      <c r="B190" s="691" t="s">
        <v>523</v>
      </c>
      <c r="C190" s="692">
        <v>80101706</v>
      </c>
      <c r="D190" s="693" t="s">
        <v>524</v>
      </c>
      <c r="E190" s="691" t="s">
        <v>48</v>
      </c>
      <c r="F190" s="691">
        <v>1</v>
      </c>
      <c r="G190" s="694" t="s">
        <v>73</v>
      </c>
      <c r="H190" s="695">
        <v>8</v>
      </c>
      <c r="I190" s="691" t="s">
        <v>61</v>
      </c>
      <c r="J190" s="691" t="s">
        <v>66</v>
      </c>
      <c r="K190" s="691" t="s">
        <v>617</v>
      </c>
      <c r="L190" s="696">
        <v>16000000</v>
      </c>
      <c r="M190" s="697">
        <f t="shared" si="5"/>
        <v>16000000</v>
      </c>
      <c r="N190" s="691" t="s">
        <v>51</v>
      </c>
      <c r="O190" s="691" t="s">
        <v>36</v>
      </c>
      <c r="P190" s="691" t="s">
        <v>525</v>
      </c>
      <c r="Q190" s="80"/>
      <c r="R190" s="698" t="str">
        <f>+IFERROR(VLOOKUP($A190,'[4]SEGUIMIENTO CONTRATOS 2018'!$A:$AJ,2,0)," ")</f>
        <v>106-2018</v>
      </c>
      <c r="S190" s="698" t="str">
        <f>+IFERROR(VLOOKUP($A190,'[4]SEGUIMIENTO CONTRATOS 2018'!$A:$AJ,3,0)," ")</f>
        <v>ANGELA PATRICIA CERÓN RAMIREZ</v>
      </c>
      <c r="T190" s="751">
        <f>+IFERROR(VLOOKUP($A190,'[4]SEGUIMIENTO CONTRATOS 2018'!$A:$AJ,8,0)," ")</f>
        <v>43117</v>
      </c>
      <c r="U190" s="698" t="str">
        <f>+IFERROR(VLOOKUP($A190,'[4]SEGUIMIENTO CONTRATOS 2018'!$A:$AJ,9,0)," ")</f>
        <v>Prestar servicios de apoyo a la gestión en la Dirección de Desarrollo Organizacional de Función Pública, para la recolección, organización y control de la información que surja en desarrollo de la Estrategia de Gestión Territorial.</v>
      </c>
      <c r="V190" s="698" t="str">
        <f>+IFERROR(VLOOKUP($A190,'[4]SEGUIMIENTO CONTRATOS 2018'!$A:$AJ,11,0)," ")</f>
        <v>PRESTACION DE SERVICIOS DE APOYO A LA GESTION</v>
      </c>
      <c r="W190" s="752">
        <f>+IFERROR(VLOOKUP($A190,'[4]SEGUIMIENTO CONTRATOS 2018'!$A:$AJ,13,0),0)</f>
        <v>16000000</v>
      </c>
      <c r="X190" s="698">
        <f>+IFERROR(VLOOKUP($A190,'[4]SEGUIMIENTO CONTRATOS 2018'!$A:$AJ,14,0),0)</f>
        <v>0</v>
      </c>
      <c r="Y190" s="752">
        <f>+IFERROR(VLOOKUP($A190,'[4]SEGUIMIENTO CONTRATOS 2018'!$A:$AJ,15,0),0)</f>
        <v>16000000</v>
      </c>
      <c r="Z190" s="752">
        <f>+IFERROR(VLOOKUP($A190,'[4]SEGUIMIENTO CONTRATOS 2018'!$A:$AJ,15,0),0)</f>
        <v>16000000</v>
      </c>
      <c r="AA190" s="698" t="str">
        <f>+IFERROR(VLOOKUP($A190,'[4]SEGUIMIENTO CONTRATOS 2018'!$A:$AJ,16,0)," ")</f>
        <v>Ocho (8) mensualidades vencidas, cada una por valor de DOS MILLONES DE PESOS ($2’000.000) M/CTE.</v>
      </c>
      <c r="AB190" s="698" t="str">
        <f>+IFERROR(VLOOKUP($A190,'[4]SEGUIMIENTO CONTRATOS 2018'!$A:$AL,38,0)," ")</f>
        <v>13618</v>
      </c>
      <c r="AC190" s="698" t="str">
        <f>+IFERROR(VLOOKUP($A190,'[4]SEGUIMIENTO CONTRATOS 2018'!$A:$AJ,24,0)," ")</f>
        <v>Ocho (8) meses, contado a partir del perfeccionamiento del mismo y registro presupuestal.</v>
      </c>
      <c r="AD190" s="751">
        <f>+IFERROR(VLOOKUP($A190,'[4]SEGUIMIENTO CONTRATOS 2018'!$A:$AJ,25,0)," ")</f>
        <v>43118</v>
      </c>
      <c r="AE190" s="751">
        <f>+IFERROR(VLOOKUP($A190,'[4]SEGUIMIENTO CONTRATOS 2018'!$A:$AJ,26,0)," ")</f>
        <v>43360</v>
      </c>
      <c r="AF190" s="698" t="str">
        <f>+IFERROR(VLOOKUP($A190,'[4]SEGUIMIENTO CONTRATOS 2018'!$A:$AJ,30,0)," ")</f>
        <v xml:space="preserve">ALEJANDRO BECKER ROJAS </v>
      </c>
      <c r="AG190" s="698" t="str">
        <f>+IFERROR(VLOOKUP($A190,'[4]SEGUIMIENTO CONTRATOS 2018'!$A:$AJ,31,0)," ")</f>
        <v xml:space="preserve">DIRECCION DE DESARROLLO ORGANIZACIONAL  </v>
      </c>
    </row>
    <row r="191" spans="1:33" ht="136.5" x14ac:dyDescent="0.25">
      <c r="A191" s="690">
        <f t="shared" si="6"/>
        <v>166</v>
      </c>
      <c r="B191" s="691" t="s">
        <v>523</v>
      </c>
      <c r="C191" s="692">
        <v>80101706</v>
      </c>
      <c r="D191" s="693" t="s">
        <v>524</v>
      </c>
      <c r="E191" s="691" t="s">
        <v>48</v>
      </c>
      <c r="F191" s="691">
        <v>1</v>
      </c>
      <c r="G191" s="694" t="s">
        <v>73</v>
      </c>
      <c r="H191" s="695">
        <v>8</v>
      </c>
      <c r="I191" s="691" t="s">
        <v>61</v>
      </c>
      <c r="J191" s="691" t="s">
        <v>66</v>
      </c>
      <c r="K191" s="691" t="s">
        <v>617</v>
      </c>
      <c r="L191" s="696">
        <v>40000000</v>
      </c>
      <c r="M191" s="697">
        <f t="shared" si="5"/>
        <v>40000000</v>
      </c>
      <c r="N191" s="691" t="s">
        <v>51</v>
      </c>
      <c r="O191" s="691" t="s">
        <v>36</v>
      </c>
      <c r="P191" s="691" t="s">
        <v>525</v>
      </c>
      <c r="Q191" s="80"/>
      <c r="R191" s="698" t="str">
        <f>+IFERROR(VLOOKUP($A191,'[4]SEGUIMIENTO CONTRATOS 2018'!$A:$AJ,2,0)," ")</f>
        <v>107-2018</v>
      </c>
      <c r="S191" s="698" t="str">
        <f>+IFERROR(VLOOKUP($A191,'[4]SEGUIMIENTO CONTRATOS 2018'!$A:$AJ,3,0)," ")</f>
        <v>MAYRA YINETH GALEANO BERGAÑO</v>
      </c>
      <c r="T191" s="751">
        <f>+IFERROR(VLOOKUP($A191,'[4]SEGUIMIENTO CONTRATOS 2018'!$A:$AJ,8,0)," ")</f>
        <v>43117</v>
      </c>
      <c r="U191" s="698" t="str">
        <f>+IFERROR(VLOOKUP($A191,'[4]SEGUIMIENTO CONTRATOS 2018'!$A:$AJ,9,0)," ")</f>
        <v>Prestar servicios profesionales en la Dirección de Desarrollo Organizacional de Función Pública, para apoyar la programación, alistamiento, articulación y segumiento a las comisiones, relacionados con la implementación de la tercera fase de la Estrategia de Gestión Territorial.</v>
      </c>
      <c r="V191" s="698" t="str">
        <f>+IFERROR(VLOOKUP($A191,'[4]SEGUIMIENTO CONTRATOS 2018'!$A:$AJ,11,0)," ")</f>
        <v>PRESTACION DE SERVICIOS PROFESIONALES</v>
      </c>
      <c r="W191" s="752">
        <f>+IFERROR(VLOOKUP($A191,'[4]SEGUIMIENTO CONTRATOS 2018'!$A:$AJ,13,0),0)</f>
        <v>40000000</v>
      </c>
      <c r="X191" s="698">
        <f>+IFERROR(VLOOKUP($A191,'[4]SEGUIMIENTO CONTRATOS 2018'!$A:$AJ,14,0),0)</f>
        <v>0</v>
      </c>
      <c r="Y191" s="752">
        <f>+IFERROR(VLOOKUP($A191,'[4]SEGUIMIENTO CONTRATOS 2018'!$A:$AJ,15,0),0)</f>
        <v>40000000</v>
      </c>
      <c r="Z191" s="752">
        <f>+IFERROR(VLOOKUP($A191,'[4]SEGUIMIENTO CONTRATOS 2018'!$A:$AJ,15,0),0)</f>
        <v>40000000</v>
      </c>
      <c r="AA191" s="698" t="str">
        <f>+IFERROR(VLOOKUP($A191,'[4]SEGUIMIENTO CONTRATOS 2018'!$A:$AJ,16,0)," ")</f>
        <v>Ocho (8) mensualidades vencidas, cada una por valor de CINCO MILLONES DE PESOS ($5.000.000) M/CTE</v>
      </c>
      <c r="AB191" s="698" t="str">
        <f>+IFERROR(VLOOKUP($A191,'[4]SEGUIMIENTO CONTRATOS 2018'!$A:$AL,38,0)," ")</f>
        <v>13718</v>
      </c>
      <c r="AC191" s="698" t="str">
        <f>+IFERROR(VLOOKUP($A191,'[4]SEGUIMIENTO CONTRATOS 2018'!$A:$AJ,24,0)," ")</f>
        <v>Ocho (8) meses, contado a partir del perfeccionamiento del mismo y registro presupuestal.</v>
      </c>
      <c r="AD191" s="751">
        <f>+IFERROR(VLOOKUP($A191,'[4]SEGUIMIENTO CONTRATOS 2018'!$A:$AJ,25,0)," ")</f>
        <v>43118</v>
      </c>
      <c r="AE191" s="751">
        <f>+IFERROR(VLOOKUP($A191,'[4]SEGUIMIENTO CONTRATOS 2018'!$A:$AJ,26,0)," ")</f>
        <v>43360</v>
      </c>
      <c r="AF191" s="698" t="str">
        <f>+IFERROR(VLOOKUP($A191,'[4]SEGUIMIENTO CONTRATOS 2018'!$A:$AJ,30,0)," ")</f>
        <v xml:space="preserve">ALEJANDRO BECKER ROJAS </v>
      </c>
      <c r="AG191" s="698" t="str">
        <f>+IFERROR(VLOOKUP($A191,'[4]SEGUIMIENTO CONTRATOS 2018'!$A:$AJ,31,0)," ")</f>
        <v xml:space="preserve">DIRECCION DE DESARROLLO ORGANIZACIONAL  </v>
      </c>
    </row>
    <row r="192" spans="1:33" ht="156" x14ac:dyDescent="0.25">
      <c r="A192" s="690">
        <f t="shared" si="6"/>
        <v>167</v>
      </c>
      <c r="B192" s="691" t="s">
        <v>523</v>
      </c>
      <c r="C192" s="692">
        <v>80101706</v>
      </c>
      <c r="D192" s="693" t="s">
        <v>524</v>
      </c>
      <c r="E192" s="691" t="s">
        <v>48</v>
      </c>
      <c r="F192" s="691">
        <v>1</v>
      </c>
      <c r="G192" s="694" t="s">
        <v>73</v>
      </c>
      <c r="H192" s="695">
        <v>7</v>
      </c>
      <c r="I192" s="691" t="s">
        <v>61</v>
      </c>
      <c r="J192" s="691" t="s">
        <v>66</v>
      </c>
      <c r="K192" s="691" t="s">
        <v>617</v>
      </c>
      <c r="L192" s="696">
        <v>42000000</v>
      </c>
      <c r="M192" s="697">
        <f t="shared" si="5"/>
        <v>42000000</v>
      </c>
      <c r="N192" s="691" t="s">
        <v>51</v>
      </c>
      <c r="O192" s="691" t="s">
        <v>36</v>
      </c>
      <c r="P192" s="691" t="s">
        <v>525</v>
      </c>
      <c r="Q192" s="80"/>
      <c r="R192" s="698" t="str">
        <f>+IFERROR(VLOOKUP($A192,'[4]SEGUIMIENTO CONTRATOS 2018'!$A:$AJ,2,0)," ")</f>
        <v>127-2018</v>
      </c>
      <c r="S192" s="698" t="str">
        <f>+IFERROR(VLOOKUP($A192,'[4]SEGUIMIENTO CONTRATOS 2018'!$A:$AJ,3,0)," ")</f>
        <v>CARLOS AUGUSTO GIRALDO BERMUDEZ</v>
      </c>
      <c r="T192" s="751">
        <f>+IFERROR(VLOOKUP($A192,'[4]SEGUIMIENTO CONTRATOS 2018'!$A:$AJ,8,0)," ")</f>
        <v>43122</v>
      </c>
      <c r="U192" s="698" t="str">
        <f>+IFERROR(VLOOKUP($A192,'[4]SEGUIMIENTO CONTRATOS 2018'!$A:$AJ,9,0)," ")</f>
        <v>Prestar servicios profesionales a la Dirección de Desarrollo Organizacional de Función Pública, para facilitar talleres de entrenamiento y ralizar observación a jornadas de asesoría en territorio, para el mejoramiento y fortalecimiento de capacidades y habilidades de los servidores de la entidad.</v>
      </c>
      <c r="V192" s="698" t="str">
        <f>+IFERROR(VLOOKUP($A192,'[4]SEGUIMIENTO CONTRATOS 2018'!$A:$AJ,11,0)," ")</f>
        <v>PRESTACION DE SERVICIOS PROFESIONALES</v>
      </c>
      <c r="W192" s="752">
        <f>+IFERROR(VLOOKUP($A192,'[4]SEGUIMIENTO CONTRATOS 2018'!$A:$AJ,13,0),0)</f>
        <v>42000000</v>
      </c>
      <c r="X192" s="698">
        <f>+IFERROR(VLOOKUP($A192,'[4]SEGUIMIENTO CONTRATOS 2018'!$A:$AJ,14,0),0)</f>
        <v>0</v>
      </c>
      <c r="Y192" s="752">
        <f>+IFERROR(VLOOKUP($A192,'[4]SEGUIMIENTO CONTRATOS 2018'!$A:$AJ,15,0),0)</f>
        <v>42000000</v>
      </c>
      <c r="Z192" s="752">
        <f>+IFERROR(VLOOKUP($A192,'[4]SEGUIMIENTO CONTRATOS 2018'!$A:$AJ,15,0),0)</f>
        <v>42000000</v>
      </c>
      <c r="AA192" s="698" t="str">
        <f>+IFERROR(VLOOKUP($A192,'[4]SEGUIMIENTO CONTRATOS 2018'!$A:$AJ,16,0)," ")</f>
        <v>Tres (3) pagos asi: a) Un (1) primer pago a los tres meses de ejecución del contrato,  por valor de CATORCE MILLONES DE PESOS ($14´000.000) M/CTE. b) Un segundo (2) pago a los seis (6) meses de ejecución del contrato,  por valor de CATORCE MILLONES DE PESOS ($14´000.000) M/CTE. c) Un tercer y último pago, por valor de CATORCE MILLONES DE PESOS ($14´000.000) M/CTE.</v>
      </c>
      <c r="AB192" s="698" t="str">
        <f>+IFERROR(VLOOKUP($A192,'[4]SEGUIMIENTO CONTRATOS 2018'!$A:$AL,38,0)," ")</f>
        <v>13818</v>
      </c>
      <c r="AC192" s="698" t="str">
        <f>+IFERROR(VLOOKUP($A192,'[4]SEGUIMIENTO CONTRATOS 2018'!$A:$AJ,24,0)," ")</f>
        <v>Siete (7) meses, contado a partir del perfeccionamiento del mismo y registro presupuestal.</v>
      </c>
      <c r="AD192" s="751">
        <f>+IFERROR(VLOOKUP($A192,'[4]SEGUIMIENTO CONTRATOS 2018'!$A:$AJ,25,0)," ")</f>
        <v>43125</v>
      </c>
      <c r="AE192" s="751">
        <f>+IFERROR(VLOOKUP($A192,'[4]SEGUIMIENTO CONTRATOS 2018'!$A:$AJ,26,0)," ")</f>
        <v>43333</v>
      </c>
      <c r="AF192" s="698" t="str">
        <f>+IFERROR(VLOOKUP($A192,'[4]SEGUIMIENTO CONTRATOS 2018'!$A:$AJ,30,0)," ")</f>
        <v xml:space="preserve">ALEJANDRO BECKER ROJAS </v>
      </c>
      <c r="AG192" s="698" t="str">
        <f>+IFERROR(VLOOKUP($A192,'[4]SEGUIMIENTO CONTRATOS 2018'!$A:$AJ,31,0)," ")</f>
        <v xml:space="preserve">DIRECCION DE DESARROLLO ORGANIZACIONAL  </v>
      </c>
    </row>
    <row r="193" spans="1:33" ht="116.25" x14ac:dyDescent="0.25">
      <c r="A193" s="690">
        <f t="shared" si="6"/>
        <v>168</v>
      </c>
      <c r="B193" s="691" t="s">
        <v>523</v>
      </c>
      <c r="C193" s="692">
        <v>80101706</v>
      </c>
      <c r="D193" s="693" t="s">
        <v>524</v>
      </c>
      <c r="E193" s="691" t="s">
        <v>48</v>
      </c>
      <c r="F193" s="691">
        <v>1</v>
      </c>
      <c r="G193" s="694" t="s">
        <v>73</v>
      </c>
      <c r="H193" s="695">
        <v>8</v>
      </c>
      <c r="I193" s="691" t="s">
        <v>61</v>
      </c>
      <c r="J193" s="691" t="s">
        <v>66</v>
      </c>
      <c r="K193" s="691" t="s">
        <v>617</v>
      </c>
      <c r="L193" s="696">
        <v>80000000</v>
      </c>
      <c r="M193" s="697">
        <f t="shared" si="5"/>
        <v>80000000</v>
      </c>
      <c r="N193" s="691" t="s">
        <v>51</v>
      </c>
      <c r="O193" s="691" t="s">
        <v>36</v>
      </c>
      <c r="P193" s="691" t="s">
        <v>525</v>
      </c>
      <c r="Q193" s="80"/>
      <c r="R193" s="698" t="str">
        <f>+IFERROR(VLOOKUP($A193,'[4]SEGUIMIENTO CONTRATOS 2018'!$A:$AJ,2,0)," ")</f>
        <v>085-2018</v>
      </c>
      <c r="S193" s="698" t="str">
        <f>+IFERROR(VLOOKUP($A193,'[4]SEGUIMIENTO CONTRATOS 2018'!$A:$AJ,3,0)," ")</f>
        <v>LINA MARIA PADILLA SAIBIS</v>
      </c>
      <c r="T193" s="751">
        <f>+IFERROR(VLOOKUP($A193,'[4]SEGUIMIENTO CONTRATOS 2018'!$A:$AJ,8,0)," ")</f>
        <v>43116</v>
      </c>
      <c r="U193" s="698" t="str">
        <f>+IFERROR(VLOOKUP($A193,'[4]SEGUIMIENTO CONTRATOS 2018'!$A:$AJ,9,0)," ")</f>
        <v xml:space="preserve">Prestar servicios profesionales a la Dirección de Desarrollo Organizacional, para apoyar la implementación de la Estrategia de Gestión Territorial, en departamentos de difícil acceso y condiciones geográficas complejas. </v>
      </c>
      <c r="V193" s="698" t="str">
        <f>+IFERROR(VLOOKUP($A193,'[4]SEGUIMIENTO CONTRATOS 2018'!$A:$AJ,11,0)," ")</f>
        <v>PRESTACION DE SERVICIOS PROFESIONALES</v>
      </c>
      <c r="W193" s="752">
        <f>+IFERROR(VLOOKUP($A193,'[4]SEGUIMIENTO CONTRATOS 2018'!$A:$AJ,13,0),0)</f>
        <v>80000000</v>
      </c>
      <c r="X193" s="698">
        <f>+IFERROR(VLOOKUP($A193,'[4]SEGUIMIENTO CONTRATOS 2018'!$A:$AJ,14,0),0)</f>
        <v>0</v>
      </c>
      <c r="Y193" s="752">
        <f>+IFERROR(VLOOKUP($A193,'[4]SEGUIMIENTO CONTRATOS 2018'!$A:$AJ,15,0),0)</f>
        <v>80000000</v>
      </c>
      <c r="Z193" s="752">
        <f>+IFERROR(VLOOKUP($A193,'[4]SEGUIMIENTO CONTRATOS 2018'!$A:$AJ,15,0),0)</f>
        <v>80000000</v>
      </c>
      <c r="AA193" s="698" t="str">
        <f>+IFERROR(VLOOKUP($A193,'[4]SEGUIMIENTO CONTRATOS 2018'!$A:$AJ,16,0)," ")</f>
        <v>Ocho mensualidades vencidas, cada una por valor de DIEZ MILLONES DE PESOS ($10’000.000) M/CTE.</v>
      </c>
      <c r="AB193" s="698" t="str">
        <f>+IFERROR(VLOOKUP($A193,'[4]SEGUIMIENTO CONTRATOS 2018'!$A:$AL,38,0)," ")</f>
        <v>13918</v>
      </c>
      <c r="AC193" s="698" t="str">
        <f>+IFERROR(VLOOKUP($A193,'[4]SEGUIMIENTO CONTRATOS 2018'!$A:$AJ,24,0)," ")</f>
        <v>Ocho (8) meses, contados a partir del perfeccionamiento del mismo y registro presupuestal.</v>
      </c>
      <c r="AD193" s="751">
        <f>+IFERROR(VLOOKUP($A193,'[4]SEGUIMIENTO CONTRATOS 2018'!$A:$AJ,25,0)," ")</f>
        <v>43122</v>
      </c>
      <c r="AE193" s="751">
        <f>+IFERROR(VLOOKUP($A193,'[4]SEGUIMIENTO CONTRATOS 2018'!$A:$AJ,26,0)," ")</f>
        <v>43364</v>
      </c>
      <c r="AF193" s="698" t="str">
        <f>+IFERROR(VLOOKUP($A193,'[4]SEGUIMIENTO CONTRATOS 2018'!$A:$AJ,30,0)," ")</f>
        <v>ALEJANDRO BECKER ROJAS</v>
      </c>
      <c r="AG193" s="698" t="str">
        <f>+IFERROR(VLOOKUP($A193,'[4]SEGUIMIENTO CONTRATOS 2018'!$A:$AJ,31,0)," ")</f>
        <v xml:space="preserve">DIRECCION DE DESARROLLO ORGANIZACIONAL  </v>
      </c>
    </row>
    <row r="194" spans="1:33" ht="117" x14ac:dyDescent="0.25">
      <c r="A194" s="690">
        <f t="shared" si="6"/>
        <v>169</v>
      </c>
      <c r="B194" s="691" t="s">
        <v>523</v>
      </c>
      <c r="C194" s="692">
        <v>80101706</v>
      </c>
      <c r="D194" s="693" t="s">
        <v>524</v>
      </c>
      <c r="E194" s="691" t="s">
        <v>48</v>
      </c>
      <c r="F194" s="691">
        <v>1</v>
      </c>
      <c r="G194" s="694" t="s">
        <v>73</v>
      </c>
      <c r="H194" s="695">
        <v>8</v>
      </c>
      <c r="I194" s="691" t="s">
        <v>61</v>
      </c>
      <c r="J194" s="691" t="s">
        <v>66</v>
      </c>
      <c r="K194" s="691" t="s">
        <v>617</v>
      </c>
      <c r="L194" s="696">
        <v>72000000</v>
      </c>
      <c r="M194" s="697">
        <f t="shared" si="5"/>
        <v>72000000</v>
      </c>
      <c r="N194" s="691" t="s">
        <v>51</v>
      </c>
      <c r="O194" s="691" t="s">
        <v>36</v>
      </c>
      <c r="P194" s="691" t="s">
        <v>525</v>
      </c>
      <c r="Q194" s="80"/>
      <c r="R194" s="698" t="str">
        <f>+IFERROR(VLOOKUP($A194,'[4]SEGUIMIENTO CONTRATOS 2018'!$A:$AJ,2,0)," ")</f>
        <v>086-2018</v>
      </c>
      <c r="S194" s="698" t="str">
        <f>+IFERROR(VLOOKUP($A194,'[4]SEGUIMIENTO CONTRATOS 2018'!$A:$AJ,3,0)," ")</f>
        <v>HAROLD EDUARDO BENAVIDES OSEJO</v>
      </c>
      <c r="T194" s="751">
        <f>+IFERROR(VLOOKUP($A194,'[4]SEGUIMIENTO CONTRATOS 2018'!$A:$AJ,8,0)," ")</f>
        <v>43116</v>
      </c>
      <c r="U194" s="698" t="str">
        <f>+IFERROR(VLOOKUP($A194,'[4]SEGUIMIENTO CONTRATOS 2018'!$A:$AJ,9,0)," ")</f>
        <v>Prestar servicios profesionales a la Dirección de Desarrollo Organizacional de Función Pública, para apoyar la implementación de la Estrategia de Gestión Territorial, en las entidades de los municipios de los departamentos que le sean asignados.</v>
      </c>
      <c r="V194" s="698" t="str">
        <f>+IFERROR(VLOOKUP($A194,'[4]SEGUIMIENTO CONTRATOS 2018'!$A:$AJ,11,0)," ")</f>
        <v>PRESTACION DE SERVICIOS PROFESIONALES</v>
      </c>
      <c r="W194" s="752">
        <f>+IFERROR(VLOOKUP($A194,'[4]SEGUIMIENTO CONTRATOS 2018'!$A:$AJ,13,0),0)</f>
        <v>72000000</v>
      </c>
      <c r="X194" s="698">
        <f>+IFERROR(VLOOKUP($A194,'[4]SEGUIMIENTO CONTRATOS 2018'!$A:$AJ,14,0),0)</f>
        <v>0</v>
      </c>
      <c r="Y194" s="752">
        <f>+IFERROR(VLOOKUP($A194,'[4]SEGUIMIENTO CONTRATOS 2018'!$A:$AJ,15,0),0)</f>
        <v>72000000</v>
      </c>
      <c r="Z194" s="752">
        <f>+IFERROR(VLOOKUP($A194,'[4]SEGUIMIENTO CONTRATOS 2018'!$A:$AJ,15,0),0)</f>
        <v>72000000</v>
      </c>
      <c r="AA194" s="698" t="str">
        <f>+IFERROR(VLOOKUP($A194,'[4]SEGUIMIENTO CONTRATOS 2018'!$A:$AJ,16,0)," ")</f>
        <v>Ocho (8) mensualidades vencidas, cada una por valor de NUEVE MILLONES DE PESOS ($9’000.000) M/CTE.</v>
      </c>
      <c r="AB194" s="698" t="str">
        <f>+IFERROR(VLOOKUP($A194,'[4]SEGUIMIENTO CONTRATOS 2018'!$A:$AL,38,0)," ")</f>
        <v>14018</v>
      </c>
      <c r="AC194" s="698" t="str">
        <f>+IFERROR(VLOOKUP($A194,'[4]SEGUIMIENTO CONTRATOS 2018'!$A:$AJ,24,0)," ")</f>
        <v>Ocho (8) meses, contados a partir del perfeccionamiento del mismo y registro presupuestal.</v>
      </c>
      <c r="AD194" s="751">
        <f>+IFERROR(VLOOKUP($A194,'[4]SEGUIMIENTO CONTRATOS 2018'!$A:$AJ,25,0)," ")</f>
        <v>43122</v>
      </c>
      <c r="AE194" s="751">
        <f>+IFERROR(VLOOKUP($A194,'[4]SEGUIMIENTO CONTRATOS 2018'!$A:$AJ,26,0)," ")</f>
        <v>43364</v>
      </c>
      <c r="AF194" s="698" t="str">
        <f>+IFERROR(VLOOKUP($A194,'[4]SEGUIMIENTO CONTRATOS 2018'!$A:$AJ,30,0)," ")</f>
        <v>ALEJANDRO BECKER ROJAS</v>
      </c>
      <c r="AG194" s="698" t="str">
        <f>+IFERROR(VLOOKUP($A194,'[4]SEGUIMIENTO CONTRATOS 2018'!$A:$AJ,31,0)," ")</f>
        <v xml:space="preserve">DIRECCION DE DESARROLLO ORGANIZACIONAL  </v>
      </c>
    </row>
    <row r="195" spans="1:33" ht="117" x14ac:dyDescent="0.25">
      <c r="A195" s="690">
        <f t="shared" si="6"/>
        <v>170</v>
      </c>
      <c r="B195" s="691" t="s">
        <v>523</v>
      </c>
      <c r="C195" s="692">
        <v>80101706</v>
      </c>
      <c r="D195" s="693" t="s">
        <v>524</v>
      </c>
      <c r="E195" s="691" t="s">
        <v>48</v>
      </c>
      <c r="F195" s="691">
        <v>1</v>
      </c>
      <c r="G195" s="694" t="s">
        <v>73</v>
      </c>
      <c r="H195" s="695">
        <v>8</v>
      </c>
      <c r="I195" s="691" t="s">
        <v>61</v>
      </c>
      <c r="J195" s="691" t="s">
        <v>66</v>
      </c>
      <c r="K195" s="691" t="s">
        <v>617</v>
      </c>
      <c r="L195" s="696">
        <v>72000000</v>
      </c>
      <c r="M195" s="697">
        <f t="shared" si="5"/>
        <v>72000000</v>
      </c>
      <c r="N195" s="691" t="s">
        <v>51</v>
      </c>
      <c r="O195" s="691" t="s">
        <v>36</v>
      </c>
      <c r="P195" s="691" t="s">
        <v>525</v>
      </c>
      <c r="Q195" s="80"/>
      <c r="R195" s="698" t="str">
        <f>+IFERROR(VLOOKUP($A195,'[4]SEGUIMIENTO CONTRATOS 2018'!$A:$AJ,2,0)," ")</f>
        <v>075-2018</v>
      </c>
      <c r="S195" s="698" t="str">
        <f>+IFERROR(VLOOKUP($A195,'[4]SEGUIMIENTO CONTRATOS 2018'!$A:$AJ,3,0)," ")</f>
        <v>ANA RAQUEL RODRIGUEZ RUIZ</v>
      </c>
      <c r="T195" s="751">
        <f>+IFERROR(VLOOKUP($A195,'[4]SEGUIMIENTO CONTRATOS 2018'!$A:$AJ,8,0)," ")</f>
        <v>43115</v>
      </c>
      <c r="U195" s="698" t="str">
        <f>+IFERROR(VLOOKUP($A195,'[4]SEGUIMIENTO CONTRATOS 2018'!$A:$AJ,9,0)," ")</f>
        <v>Prestar servicios profesionales a la Dirección de Desarrollo Organizacional de Función Pública, para apoyar la implementación de la Estrategia de Gestión Territorial, en las entidades de los municipios de los departamentos que le sean asignados.</v>
      </c>
      <c r="V195" s="698" t="str">
        <f>+IFERROR(VLOOKUP($A195,'[4]SEGUIMIENTO CONTRATOS 2018'!$A:$AJ,11,0)," ")</f>
        <v>PRESTACION DE SERVICIOS PROFESIONALES</v>
      </c>
      <c r="W195" s="752">
        <f>+IFERROR(VLOOKUP($A195,'[4]SEGUIMIENTO CONTRATOS 2018'!$A:$AJ,13,0),0)</f>
        <v>72000000</v>
      </c>
      <c r="X195" s="698">
        <f>+IFERROR(VLOOKUP($A195,'[4]SEGUIMIENTO CONTRATOS 2018'!$A:$AJ,14,0),0)</f>
        <v>0</v>
      </c>
      <c r="Y195" s="752">
        <f>+IFERROR(VLOOKUP($A195,'[4]SEGUIMIENTO CONTRATOS 2018'!$A:$AJ,15,0),0)</f>
        <v>72000000</v>
      </c>
      <c r="Z195" s="752">
        <f>+IFERROR(VLOOKUP($A195,'[4]SEGUIMIENTO CONTRATOS 2018'!$A:$AJ,15,0),0)</f>
        <v>72000000</v>
      </c>
      <c r="AA195" s="698" t="str">
        <f>+IFERROR(VLOOKUP($A195,'[4]SEGUIMIENTO CONTRATOS 2018'!$A:$AJ,16,0)," ")</f>
        <v>Ocho (8) mensualidades vencidas, cada una por valor de NUEVE MILLONES DE PESOS ($9’000.000) M/CTE.</v>
      </c>
      <c r="AB195" s="698" t="str">
        <f>+IFERROR(VLOOKUP($A195,'[4]SEGUIMIENTO CONTRATOS 2018'!$A:$AL,38,0)," ")</f>
        <v>14118</v>
      </c>
      <c r="AC195" s="698" t="str">
        <f>+IFERROR(VLOOKUP($A195,'[4]SEGUIMIENTO CONTRATOS 2018'!$A:$AJ,24,0)," ")</f>
        <v>Ocho (8) meses, contados a partir del perfeccionamiento del mismo y registro presupuestal.</v>
      </c>
      <c r="AD195" s="751">
        <f>+IFERROR(VLOOKUP($A195,'[4]SEGUIMIENTO CONTRATOS 2018'!$A:$AJ,25,0)," ")</f>
        <v>43122</v>
      </c>
      <c r="AE195" s="751">
        <f>+IFERROR(VLOOKUP($A195,'[4]SEGUIMIENTO CONTRATOS 2018'!$A:$AJ,26,0)," ")</f>
        <v>43364</v>
      </c>
      <c r="AF195" s="698" t="str">
        <f>+IFERROR(VLOOKUP($A195,'[4]SEGUIMIENTO CONTRATOS 2018'!$A:$AJ,30,0)," ")</f>
        <v>ALEJANDRO BECKER ROJAS</v>
      </c>
      <c r="AG195" s="698" t="str">
        <f>+IFERROR(VLOOKUP($A195,'[4]SEGUIMIENTO CONTRATOS 2018'!$A:$AJ,31,0)," ")</f>
        <v xml:space="preserve">DIRECCION DE DESARROLLO ORGANIZACIONAL  </v>
      </c>
    </row>
    <row r="196" spans="1:33" ht="117" x14ac:dyDescent="0.25">
      <c r="A196" s="690">
        <f t="shared" si="6"/>
        <v>171</v>
      </c>
      <c r="B196" s="691" t="s">
        <v>523</v>
      </c>
      <c r="C196" s="692">
        <v>80101706</v>
      </c>
      <c r="D196" s="693" t="s">
        <v>524</v>
      </c>
      <c r="E196" s="691" t="s">
        <v>48</v>
      </c>
      <c r="F196" s="691">
        <v>1</v>
      </c>
      <c r="G196" s="694" t="s">
        <v>73</v>
      </c>
      <c r="H196" s="695">
        <v>8</v>
      </c>
      <c r="I196" s="691" t="s">
        <v>61</v>
      </c>
      <c r="J196" s="691" t="s">
        <v>66</v>
      </c>
      <c r="K196" s="691" t="s">
        <v>617</v>
      </c>
      <c r="L196" s="696">
        <v>72000000</v>
      </c>
      <c r="M196" s="697">
        <f t="shared" si="5"/>
        <v>72000000</v>
      </c>
      <c r="N196" s="691" t="s">
        <v>51</v>
      </c>
      <c r="O196" s="691" t="s">
        <v>36</v>
      </c>
      <c r="P196" s="691" t="s">
        <v>525</v>
      </c>
      <c r="Q196" s="80"/>
      <c r="R196" s="698" t="str">
        <f>+IFERROR(VLOOKUP($A196,'[4]SEGUIMIENTO CONTRATOS 2018'!$A:$AJ,2,0)," ")</f>
        <v>091-2018</v>
      </c>
      <c r="S196" s="698" t="str">
        <f>+IFERROR(VLOOKUP($A196,'[4]SEGUIMIENTO CONTRATOS 2018'!$A:$AJ,3,0)," ")</f>
        <v>ORANGEL DE JESUS NORIEGA</v>
      </c>
      <c r="T196" s="751">
        <f>+IFERROR(VLOOKUP($A196,'[4]SEGUIMIENTO CONTRATOS 2018'!$A:$AJ,8,0)," ")</f>
        <v>43116</v>
      </c>
      <c r="U196" s="698" t="str">
        <f>+IFERROR(VLOOKUP($A196,'[4]SEGUIMIENTO CONTRATOS 2018'!$A:$AJ,9,0)," ")</f>
        <v>Prestar servicios profesionales a la Dirección de Desarrollo Organizacional de Función Pública, para apoyar la implementación de la Estrategia de Gestión Territorial, en las entidades de los municipios de los departamentos que le sean asignados.</v>
      </c>
      <c r="V196" s="698" t="str">
        <f>+IFERROR(VLOOKUP($A196,'[4]SEGUIMIENTO CONTRATOS 2018'!$A:$AJ,11,0)," ")</f>
        <v>PRESTACION DE SERVICIOS PROFESIONALES</v>
      </c>
      <c r="W196" s="752">
        <f>+IFERROR(VLOOKUP($A196,'[4]SEGUIMIENTO CONTRATOS 2018'!$A:$AJ,13,0),0)</f>
        <v>72000000</v>
      </c>
      <c r="X196" s="698">
        <f>+IFERROR(VLOOKUP($A196,'[4]SEGUIMIENTO CONTRATOS 2018'!$A:$AJ,14,0),0)</f>
        <v>0</v>
      </c>
      <c r="Y196" s="752">
        <f>+IFERROR(VLOOKUP($A196,'[4]SEGUIMIENTO CONTRATOS 2018'!$A:$AJ,15,0),0)</f>
        <v>72000000</v>
      </c>
      <c r="Z196" s="752">
        <f>+IFERROR(VLOOKUP($A196,'[4]SEGUIMIENTO CONTRATOS 2018'!$A:$AJ,15,0),0)</f>
        <v>72000000</v>
      </c>
      <c r="AA196" s="698" t="str">
        <f>+IFERROR(VLOOKUP($A196,'[4]SEGUIMIENTO CONTRATOS 2018'!$A:$AJ,16,0)," ")</f>
        <v>Ocho (8) mensualidades vencidas, cada una por valor de NUEVE MILLONES DE PESOS ($9’000.000) M/CTE.</v>
      </c>
      <c r="AB196" s="698" t="str">
        <f>+IFERROR(VLOOKUP($A196,'[4]SEGUIMIENTO CONTRATOS 2018'!$A:$AL,38,0)," ")</f>
        <v>14218</v>
      </c>
      <c r="AC196" s="698" t="str">
        <f>+IFERROR(VLOOKUP($A196,'[4]SEGUIMIENTO CONTRATOS 2018'!$A:$AJ,24,0)," ")</f>
        <v>Ocho (8) meses, contados a partir del perfeccionamiento del mismo y registro presupuestal.</v>
      </c>
      <c r="AD196" s="751">
        <f>+IFERROR(VLOOKUP($A196,'[4]SEGUIMIENTO CONTRATOS 2018'!$A:$AJ,25,0)," ")</f>
        <v>43122</v>
      </c>
      <c r="AE196" s="751">
        <f>+IFERROR(VLOOKUP($A196,'[4]SEGUIMIENTO CONTRATOS 2018'!$A:$AJ,26,0)," ")</f>
        <v>43364</v>
      </c>
      <c r="AF196" s="698" t="str">
        <f>+IFERROR(VLOOKUP($A196,'[4]SEGUIMIENTO CONTRATOS 2018'!$A:$AJ,30,0)," ")</f>
        <v xml:space="preserve">ALEJANDRO BECKER ROJAS </v>
      </c>
      <c r="AG196" s="698" t="str">
        <f>+IFERROR(VLOOKUP($A196,'[4]SEGUIMIENTO CONTRATOS 2018'!$A:$AJ,31,0)," ")</f>
        <v xml:space="preserve">DIRECCION DE DESARROLLO ORGANIZACIONAL  </v>
      </c>
    </row>
    <row r="197" spans="1:33" ht="117" x14ac:dyDescent="0.25">
      <c r="A197" s="690">
        <f t="shared" si="6"/>
        <v>172</v>
      </c>
      <c r="B197" s="691" t="s">
        <v>523</v>
      </c>
      <c r="C197" s="692">
        <v>80101706</v>
      </c>
      <c r="D197" s="693" t="s">
        <v>524</v>
      </c>
      <c r="E197" s="691" t="s">
        <v>48</v>
      </c>
      <c r="F197" s="691">
        <v>1</v>
      </c>
      <c r="G197" s="694" t="s">
        <v>73</v>
      </c>
      <c r="H197" s="695">
        <v>8</v>
      </c>
      <c r="I197" s="691" t="s">
        <v>61</v>
      </c>
      <c r="J197" s="691" t="s">
        <v>66</v>
      </c>
      <c r="K197" s="691" t="s">
        <v>617</v>
      </c>
      <c r="L197" s="696">
        <v>72000000</v>
      </c>
      <c r="M197" s="697">
        <f t="shared" si="5"/>
        <v>72000000</v>
      </c>
      <c r="N197" s="691" t="s">
        <v>51</v>
      </c>
      <c r="O197" s="691" t="s">
        <v>36</v>
      </c>
      <c r="P197" s="691" t="s">
        <v>525</v>
      </c>
      <c r="Q197" s="80"/>
      <c r="R197" s="698" t="str">
        <f>+IFERROR(VLOOKUP($A197,'[4]SEGUIMIENTO CONTRATOS 2018'!$A:$AJ,2,0)," ")</f>
        <v>126-2018</v>
      </c>
      <c r="S197" s="698" t="str">
        <f>+IFERROR(VLOOKUP($A197,'[4]SEGUIMIENTO CONTRATOS 2018'!$A:$AJ,3,0)," ")</f>
        <v>EDGAR ALBERTO SIMBAQUEBA MORENO</v>
      </c>
      <c r="T197" s="751">
        <f>+IFERROR(VLOOKUP($A197,'[4]SEGUIMIENTO CONTRATOS 2018'!$A:$AJ,8,0)," ")</f>
        <v>43122</v>
      </c>
      <c r="U197" s="698" t="str">
        <f>+IFERROR(VLOOKUP($A197,'[4]SEGUIMIENTO CONTRATOS 2018'!$A:$AJ,9,0)," ")</f>
        <v>Prestar servicios profesionales a la Dirección de Desarrollo Organizacional de Función Pública, para apoyar la implementación de la Estrategia de Gestión Territorial, en las entidades de los municipios de los departamentos que le sean asignados.</v>
      </c>
      <c r="V197" s="698" t="str">
        <f>+IFERROR(VLOOKUP($A197,'[4]SEGUIMIENTO CONTRATOS 2018'!$A:$AJ,11,0)," ")</f>
        <v>PRESTACION DE SERVICIOS PROFESIONALES</v>
      </c>
      <c r="W197" s="752">
        <f>+IFERROR(VLOOKUP($A197,'[4]SEGUIMIENTO CONTRATOS 2018'!$A:$AJ,13,0),0)</f>
        <v>72000000</v>
      </c>
      <c r="X197" s="698">
        <f>+IFERROR(VLOOKUP($A197,'[4]SEGUIMIENTO CONTRATOS 2018'!$A:$AJ,14,0),0)</f>
        <v>0</v>
      </c>
      <c r="Y197" s="752">
        <f>+IFERROR(VLOOKUP($A197,'[4]SEGUIMIENTO CONTRATOS 2018'!$A:$AJ,15,0),0)</f>
        <v>72000000</v>
      </c>
      <c r="Z197" s="752">
        <f>+IFERROR(VLOOKUP($A197,'[4]SEGUIMIENTO CONTRATOS 2018'!$A:$AJ,15,0),0)</f>
        <v>72000000</v>
      </c>
      <c r="AA197" s="698" t="str">
        <f>+IFERROR(VLOOKUP($A197,'[4]SEGUIMIENTO CONTRATOS 2018'!$A:$AJ,16,0)," ")</f>
        <v>ocho (8) mensualidades vencidas, cada una por valor de NUEVE MILLONES DE PESOS ($9.000.000) M/CTE.</v>
      </c>
      <c r="AB197" s="698" t="str">
        <f>+IFERROR(VLOOKUP($A197,'[4]SEGUIMIENTO CONTRATOS 2018'!$A:$AL,38,0)," ")</f>
        <v>14318</v>
      </c>
      <c r="AC197" s="698" t="str">
        <f>+IFERROR(VLOOKUP($A197,'[4]SEGUIMIENTO CONTRATOS 2018'!$A:$AJ,24,0)," ")</f>
        <v>Ocho (8) meses, contado a partir del perfeccionamiento del mismo y registro presupuestal.</v>
      </c>
      <c r="AD197" s="751">
        <f>+IFERROR(VLOOKUP($A197,'[4]SEGUIMIENTO CONTRATOS 2018'!$A:$AJ,25,0)," ")</f>
        <v>43124</v>
      </c>
      <c r="AE197" s="751">
        <f>+IFERROR(VLOOKUP($A197,'[4]SEGUIMIENTO CONTRATOS 2018'!$A:$AJ,26,0)," ")</f>
        <v>43366</v>
      </c>
      <c r="AF197" s="698" t="str">
        <f>+IFERROR(VLOOKUP($A197,'[4]SEGUIMIENTO CONTRATOS 2018'!$A:$AJ,30,0)," ")</f>
        <v xml:space="preserve">ALEJANDRO BECKER ROJAS </v>
      </c>
      <c r="AG197" s="698" t="str">
        <f>+IFERROR(VLOOKUP($A197,'[4]SEGUIMIENTO CONTRATOS 2018'!$A:$AJ,31,0)," ")</f>
        <v xml:space="preserve">DIRECCION DE DESARROLLO ORGANIZACIONAL  </v>
      </c>
    </row>
    <row r="198" spans="1:33" ht="117" x14ac:dyDescent="0.25">
      <c r="A198" s="690">
        <f t="shared" si="6"/>
        <v>173</v>
      </c>
      <c r="B198" s="691" t="s">
        <v>523</v>
      </c>
      <c r="C198" s="692">
        <v>80101706</v>
      </c>
      <c r="D198" s="693" t="s">
        <v>524</v>
      </c>
      <c r="E198" s="691" t="s">
        <v>48</v>
      </c>
      <c r="F198" s="691">
        <v>1</v>
      </c>
      <c r="G198" s="694" t="s">
        <v>73</v>
      </c>
      <c r="H198" s="695">
        <v>8</v>
      </c>
      <c r="I198" s="691" t="s">
        <v>61</v>
      </c>
      <c r="J198" s="691" t="s">
        <v>66</v>
      </c>
      <c r="K198" s="691" t="s">
        <v>617</v>
      </c>
      <c r="L198" s="696">
        <v>72000000</v>
      </c>
      <c r="M198" s="697">
        <f t="shared" si="5"/>
        <v>72000000</v>
      </c>
      <c r="N198" s="691" t="s">
        <v>51</v>
      </c>
      <c r="O198" s="691" t="s">
        <v>36</v>
      </c>
      <c r="P198" s="691" t="s">
        <v>525</v>
      </c>
      <c r="Q198" s="80"/>
      <c r="R198" s="698" t="str">
        <f>+IFERROR(VLOOKUP($A198,'[4]SEGUIMIENTO CONTRATOS 2018'!$A:$AJ,2,0)," ")</f>
        <v>089-2018</v>
      </c>
      <c r="S198" s="698" t="str">
        <f>+IFERROR(VLOOKUP($A198,'[4]SEGUIMIENTO CONTRATOS 2018'!$A:$AJ,3,0)," ")</f>
        <v>RICARDO ANDRES MOLINA SUAREZ</v>
      </c>
      <c r="T198" s="751">
        <f>+IFERROR(VLOOKUP($A198,'[4]SEGUIMIENTO CONTRATOS 2018'!$A:$AJ,8,0)," ")</f>
        <v>43116</v>
      </c>
      <c r="U198" s="698" t="str">
        <f>+IFERROR(VLOOKUP($A198,'[4]SEGUIMIENTO CONTRATOS 2018'!$A:$AJ,9,0)," ")</f>
        <v>Prestar servicios profesionales a la Dirección de Desarrollo Organizacional de Función Pública, para apoyar la implementación de la Estrategia de Gestión Territorial, en las entidades de los municipios de los departamentos que le sean asignados.</v>
      </c>
      <c r="V198" s="698" t="str">
        <f>+IFERROR(VLOOKUP($A198,'[4]SEGUIMIENTO CONTRATOS 2018'!$A:$AJ,11,0)," ")</f>
        <v>PRESTACION DE SERVICIOS PROFESIONALES</v>
      </c>
      <c r="W198" s="752">
        <f>+IFERROR(VLOOKUP($A198,'[4]SEGUIMIENTO CONTRATOS 2018'!$A:$AJ,13,0),0)</f>
        <v>72000000</v>
      </c>
      <c r="X198" s="698">
        <f>+IFERROR(VLOOKUP($A198,'[4]SEGUIMIENTO CONTRATOS 2018'!$A:$AJ,14,0),0)</f>
        <v>0</v>
      </c>
      <c r="Y198" s="752">
        <f>+IFERROR(VLOOKUP($A198,'[4]SEGUIMIENTO CONTRATOS 2018'!$A:$AJ,15,0),0)</f>
        <v>72000000</v>
      </c>
      <c r="Z198" s="752">
        <f>+IFERROR(VLOOKUP($A198,'[4]SEGUIMIENTO CONTRATOS 2018'!$A:$AJ,15,0),0)</f>
        <v>72000000</v>
      </c>
      <c r="AA198" s="698" t="str">
        <f>+IFERROR(VLOOKUP($A198,'[4]SEGUIMIENTO CONTRATOS 2018'!$A:$AJ,16,0)," ")</f>
        <v>Ocho (8) mensualidades vencidas, cada una por valor de NUEVE MILLONES DE PESOS ($9’000.000) M/CTE.</v>
      </c>
      <c r="AB198" s="698" t="str">
        <f>+IFERROR(VLOOKUP($A198,'[4]SEGUIMIENTO CONTRATOS 2018'!$A:$AL,38,0)," ")</f>
        <v>14418</v>
      </c>
      <c r="AC198" s="698" t="str">
        <f>+IFERROR(VLOOKUP($A198,'[4]SEGUIMIENTO CONTRATOS 2018'!$A:$AJ,24,0)," ")</f>
        <v>Ocho (8) meses, contados a partir del perfeccionamiento del mismo y registro presupuestal.</v>
      </c>
      <c r="AD198" s="751">
        <f>+IFERROR(VLOOKUP($A198,'[4]SEGUIMIENTO CONTRATOS 2018'!$A:$AJ,25,0)," ")</f>
        <v>43122</v>
      </c>
      <c r="AE198" s="751">
        <f>+IFERROR(VLOOKUP($A198,'[4]SEGUIMIENTO CONTRATOS 2018'!$A:$AJ,26,0)," ")</f>
        <v>43364</v>
      </c>
      <c r="AF198" s="698" t="str">
        <f>+IFERROR(VLOOKUP($A198,'[4]SEGUIMIENTO CONTRATOS 2018'!$A:$AJ,30,0)," ")</f>
        <v xml:space="preserve">ALEJANDRO BECKER ROJAS </v>
      </c>
      <c r="AG198" s="698" t="str">
        <f>+IFERROR(VLOOKUP($A198,'[4]SEGUIMIENTO CONTRATOS 2018'!$A:$AJ,31,0)," ")</f>
        <v xml:space="preserve">DIRECCION DE DESARROLLO ORGANIZACIONAL  </v>
      </c>
    </row>
    <row r="199" spans="1:33" ht="117" x14ac:dyDescent="0.25">
      <c r="A199" s="690">
        <f t="shared" si="6"/>
        <v>174</v>
      </c>
      <c r="B199" s="691" t="s">
        <v>523</v>
      </c>
      <c r="C199" s="692">
        <v>80101706</v>
      </c>
      <c r="D199" s="693" t="s">
        <v>524</v>
      </c>
      <c r="E199" s="691" t="s">
        <v>48</v>
      </c>
      <c r="F199" s="691">
        <v>1</v>
      </c>
      <c r="G199" s="694" t="s">
        <v>73</v>
      </c>
      <c r="H199" s="695">
        <v>8</v>
      </c>
      <c r="I199" s="691" t="s">
        <v>61</v>
      </c>
      <c r="J199" s="691" t="s">
        <v>66</v>
      </c>
      <c r="K199" s="691" t="s">
        <v>617</v>
      </c>
      <c r="L199" s="696">
        <v>72000000</v>
      </c>
      <c r="M199" s="697">
        <f t="shared" si="5"/>
        <v>72000000</v>
      </c>
      <c r="N199" s="691" t="s">
        <v>51</v>
      </c>
      <c r="O199" s="691" t="s">
        <v>36</v>
      </c>
      <c r="P199" s="691" t="s">
        <v>525</v>
      </c>
      <c r="Q199" s="80"/>
      <c r="R199" s="698" t="str">
        <f>+IFERROR(VLOOKUP($A199,'[4]SEGUIMIENTO CONTRATOS 2018'!$A:$AJ,2,0)," ")</f>
        <v>135-2018</v>
      </c>
      <c r="S199" s="698" t="str">
        <f>+IFERROR(VLOOKUP($A199,'[4]SEGUIMIENTO CONTRATOS 2018'!$A:$AJ,3,0)," ")</f>
        <v>RODOLFO RENGIFO VALENCIA</v>
      </c>
      <c r="T199" s="751">
        <f>+IFERROR(VLOOKUP($A199,'[4]SEGUIMIENTO CONTRATOS 2018'!$A:$AJ,8,0)," ")</f>
        <v>43124</v>
      </c>
      <c r="U199" s="698" t="str">
        <f>+IFERROR(VLOOKUP($A199,'[4]SEGUIMIENTO CONTRATOS 2018'!$A:$AJ,9,0)," ")</f>
        <v>Prestar servicios profesionales a la Direccion de Desarrollo Organizacional de Función Pública, para apoyar la implementación de la Estrategia de Gestión Territorial, en las entidades de los municipios de los departamentos que le sean asignados.</v>
      </c>
      <c r="V199" s="698" t="str">
        <f>+IFERROR(VLOOKUP($A199,'[4]SEGUIMIENTO CONTRATOS 2018'!$A:$AJ,11,0)," ")</f>
        <v>PRESTACION DE SERVICIOS PROFESIONALES</v>
      </c>
      <c r="W199" s="752">
        <f>+IFERROR(VLOOKUP($A199,'[4]SEGUIMIENTO CONTRATOS 2018'!$A:$AJ,13,0),0)</f>
        <v>72000000</v>
      </c>
      <c r="X199" s="698">
        <f>+IFERROR(VLOOKUP($A199,'[4]SEGUIMIENTO CONTRATOS 2018'!$A:$AJ,14,0),0)</f>
        <v>0</v>
      </c>
      <c r="Y199" s="752">
        <f>+IFERROR(VLOOKUP($A199,'[4]SEGUIMIENTO CONTRATOS 2018'!$A:$AJ,15,0),0)</f>
        <v>72000000</v>
      </c>
      <c r="Z199" s="752">
        <f>+IFERROR(VLOOKUP($A199,'[4]SEGUIMIENTO CONTRATOS 2018'!$A:$AJ,15,0),0)</f>
        <v>72000000</v>
      </c>
      <c r="AA199" s="698" t="str">
        <f>+IFERROR(VLOOKUP($A199,'[4]SEGUIMIENTO CONTRATOS 2018'!$A:$AJ,16,0)," ")</f>
        <v>Ocho (8) mensualidades vencidas, cada una por valor de NUEVE MILLONES DE PESOS ($9’000.000) M/CTE</v>
      </c>
      <c r="AB199" s="698" t="str">
        <f>+IFERROR(VLOOKUP($A199,'[4]SEGUIMIENTO CONTRATOS 2018'!$A:$AL,38,0)," ")</f>
        <v>14418</v>
      </c>
      <c r="AC199" s="698" t="str">
        <f>+IFERROR(VLOOKUP($A199,'[4]SEGUIMIENTO CONTRATOS 2018'!$A:$AJ,24,0)," ")</f>
        <v>Ocho (8) meses, contado a partir del perfeccionamiento del mismo y registro presupuestal.</v>
      </c>
      <c r="AD199" s="751">
        <f>+IFERROR(VLOOKUP($A199,'[4]SEGUIMIENTO CONTRATOS 2018'!$A:$AJ,25,0)," ")</f>
        <v>43126</v>
      </c>
      <c r="AE199" s="751">
        <f>+IFERROR(VLOOKUP($A199,'[4]SEGUIMIENTO CONTRATOS 2018'!$A:$AJ,26,0)," ")</f>
        <v>43368</v>
      </c>
      <c r="AF199" s="698" t="str">
        <f>+IFERROR(VLOOKUP($A199,'[4]SEGUIMIENTO CONTRATOS 2018'!$A:$AJ,30,0)," ")</f>
        <v xml:space="preserve">ALEJANDRO BECKER ROJAS </v>
      </c>
      <c r="AG199" s="698" t="str">
        <f>+IFERROR(VLOOKUP($A199,'[4]SEGUIMIENTO CONTRATOS 2018'!$A:$AJ,31,0)," ")</f>
        <v xml:space="preserve">DIRECCION DE DESARROLLO ORGANIZACIONAL  </v>
      </c>
    </row>
    <row r="200" spans="1:33" ht="136.5" x14ac:dyDescent="0.25">
      <c r="A200" s="690">
        <f t="shared" si="6"/>
        <v>175</v>
      </c>
      <c r="B200" s="691" t="s">
        <v>523</v>
      </c>
      <c r="C200" s="692">
        <v>80101706</v>
      </c>
      <c r="D200" s="693" t="s">
        <v>524</v>
      </c>
      <c r="E200" s="691" t="s">
        <v>48</v>
      </c>
      <c r="F200" s="691">
        <v>1</v>
      </c>
      <c r="G200" s="694" t="s">
        <v>73</v>
      </c>
      <c r="H200" s="695">
        <v>5</v>
      </c>
      <c r="I200" s="691" t="s">
        <v>61</v>
      </c>
      <c r="J200" s="691" t="s">
        <v>66</v>
      </c>
      <c r="K200" s="691" t="s">
        <v>608</v>
      </c>
      <c r="L200" s="696">
        <v>45000000</v>
      </c>
      <c r="M200" s="697">
        <f t="shared" si="5"/>
        <v>45000000</v>
      </c>
      <c r="N200" s="691" t="s">
        <v>51</v>
      </c>
      <c r="O200" s="691" t="s">
        <v>36</v>
      </c>
      <c r="P200" s="691" t="s">
        <v>525</v>
      </c>
      <c r="Q200" s="80"/>
      <c r="R200" s="698" t="str">
        <f>+IFERROR(VLOOKUP($A200,'[4]SEGUIMIENTO CONTRATOS 2018'!$A:$AJ,2,0)," ")</f>
        <v>117-2018</v>
      </c>
      <c r="S200" s="698" t="str">
        <f>+IFERROR(VLOOKUP($A200,'[4]SEGUIMIENTO CONTRATOS 2018'!$A:$AJ,3,0)," ")</f>
        <v>JENNIFER ALEJANDRA MOGOLLON BERNAL</v>
      </c>
      <c r="T200" s="751">
        <f>+IFERROR(VLOOKUP($A200,'[4]SEGUIMIENTO CONTRATOS 2018'!$A:$AJ,8,0)," ")</f>
        <v>43118</v>
      </c>
      <c r="U200" s="698" t="str">
        <f>+IFERROR(VLOOKUP($A200,'[4]SEGUIMIENTO CONTRATOS 2018'!$A:$AJ,9,0)," ")</f>
        <v>Prestar servicios profesionales en la Dirección de Desarrollo Organizacional de Función Pública, para apoyar la revisión  del resultado de las reformas organizacionales adelantadas en el Estado colombiano  durante el periodo 2010-2018 en todos los sectores de la Rama Ejecutiva.</v>
      </c>
      <c r="V200" s="698" t="str">
        <f>+IFERROR(VLOOKUP($A200,'[4]SEGUIMIENTO CONTRATOS 2018'!$A:$AJ,11,0)," ")</f>
        <v>PRESTACION DE SERVICIOS PROFESIONALES</v>
      </c>
      <c r="W200" s="752">
        <f>+IFERROR(VLOOKUP($A200,'[4]SEGUIMIENTO CONTRATOS 2018'!$A:$AJ,13,0),0)</f>
        <v>45000000</v>
      </c>
      <c r="X200" s="698">
        <f>+IFERROR(VLOOKUP($A200,'[4]SEGUIMIENTO CONTRATOS 2018'!$A:$AJ,14,0),0)</f>
        <v>0</v>
      </c>
      <c r="Y200" s="752">
        <f>+IFERROR(VLOOKUP($A200,'[4]SEGUIMIENTO CONTRATOS 2018'!$A:$AJ,15,0),0)</f>
        <v>45000000</v>
      </c>
      <c r="Z200" s="752">
        <f>+IFERROR(VLOOKUP($A200,'[4]SEGUIMIENTO CONTRATOS 2018'!$A:$AJ,15,0),0)</f>
        <v>45000000</v>
      </c>
      <c r="AA200" s="698" t="str">
        <f>+IFERROR(VLOOKUP($A200,'[4]SEGUIMIENTO CONTRATOS 2018'!$A:$AJ,16,0)," ")</f>
        <v>Cinco (5) mensualidades vencidas, cada una por valor de NUEVE MILLONES DE PESOS ($9.000.000) M/CTE</v>
      </c>
      <c r="AB200" s="698" t="str">
        <f>+IFERROR(VLOOKUP($A200,'[4]SEGUIMIENTO CONTRATOS 2018'!$A:$AL,38,0)," ")</f>
        <v>14618</v>
      </c>
      <c r="AC200" s="698" t="str">
        <f>+IFERROR(VLOOKUP($A200,'[4]SEGUIMIENTO CONTRATOS 2018'!$A:$AJ,24,0)," ")</f>
        <v>Cinco (5) meses, contado a partir del perfeccionamiento del mismo y registro presupuestal.</v>
      </c>
      <c r="AD200" s="751">
        <f>+IFERROR(VLOOKUP($A200,'[4]SEGUIMIENTO CONTRATOS 2018'!$A:$AJ,25,0)," ")</f>
        <v>43122</v>
      </c>
      <c r="AE200" s="751">
        <f>+IFERROR(VLOOKUP($A200,'[4]SEGUIMIENTO CONTRATOS 2018'!$A:$AJ,26,0)," ")</f>
        <v>43272</v>
      </c>
      <c r="AF200" s="698" t="str">
        <f>+IFERROR(VLOOKUP($A200,'[4]SEGUIMIENTO CONTRATOS 2018'!$A:$AJ,30,0)," ")</f>
        <v xml:space="preserve">ALEJANDRO BECKER ROJAS </v>
      </c>
      <c r="AG200" s="698" t="str">
        <f>+IFERROR(VLOOKUP($A200,'[4]SEGUIMIENTO CONTRATOS 2018'!$A:$AJ,31,0)," ")</f>
        <v xml:space="preserve">DIRECCION DE DESARROLLO ORGANIZACIONAL  </v>
      </c>
    </row>
    <row r="201" spans="1:33" ht="136.5" x14ac:dyDescent="0.25">
      <c r="A201" s="690">
        <f t="shared" si="6"/>
        <v>176</v>
      </c>
      <c r="B201" s="691" t="s">
        <v>523</v>
      </c>
      <c r="C201" s="692">
        <v>80101706</v>
      </c>
      <c r="D201" s="693" t="s">
        <v>524</v>
      </c>
      <c r="E201" s="691" t="s">
        <v>48</v>
      </c>
      <c r="F201" s="691">
        <v>1</v>
      </c>
      <c r="G201" s="694" t="s">
        <v>73</v>
      </c>
      <c r="H201" s="695">
        <v>8</v>
      </c>
      <c r="I201" s="691" t="s">
        <v>61</v>
      </c>
      <c r="J201" s="691" t="s">
        <v>66</v>
      </c>
      <c r="K201" s="691" t="s">
        <v>617</v>
      </c>
      <c r="L201" s="696">
        <v>48000000</v>
      </c>
      <c r="M201" s="697">
        <f t="shared" si="5"/>
        <v>48000000</v>
      </c>
      <c r="N201" s="691" t="s">
        <v>51</v>
      </c>
      <c r="O201" s="691" t="s">
        <v>36</v>
      </c>
      <c r="P201" s="691" t="s">
        <v>525</v>
      </c>
      <c r="Q201" s="80"/>
      <c r="R201" s="698" t="str">
        <f>+IFERROR(VLOOKUP($A201,'[4]SEGUIMIENTO CONTRATOS 2018'!$A:$AJ,2,0)," ")</f>
        <v>092-2018</v>
      </c>
      <c r="S201" s="698" t="str">
        <f>+IFERROR(VLOOKUP($A201,'[4]SEGUIMIENTO CONTRATOS 2018'!$A:$AJ,3,0)," ")</f>
        <v>RICARDO ANTONIO FUENTES ESMERAL</v>
      </c>
      <c r="T201" s="751">
        <f>+IFERROR(VLOOKUP($A201,'[4]SEGUIMIENTO CONTRATOS 2018'!$A:$AJ,8,0)," ")</f>
        <v>43116</v>
      </c>
      <c r="U201" s="698" t="str">
        <f>+IFERROR(VLOOKUP($A201,'[4]SEGUIMIENTO CONTRATOS 2018'!$A:$AJ,9,0)," ")</f>
        <v>Prestar servicios profesionales a la Dirección de Desarrollo Organizacional de Función Pública, para apoyar la implementación de la Estrategia de Gestión Territorial, a través de la ejecución de los Planes de Acción Técnicos (PAT), en las entidades territoriales asignadas.</v>
      </c>
      <c r="V201" s="698" t="str">
        <f>+IFERROR(VLOOKUP($A201,'[4]SEGUIMIENTO CONTRATOS 2018'!$A:$AJ,11,0)," ")</f>
        <v>PRESTACION DE SERVICIOS PROFESIONALES</v>
      </c>
      <c r="W201" s="752">
        <f>+IFERROR(VLOOKUP($A201,'[4]SEGUIMIENTO CONTRATOS 2018'!$A:$AJ,13,0),0)</f>
        <v>48000000</v>
      </c>
      <c r="X201" s="698">
        <f>+IFERROR(VLOOKUP($A201,'[4]SEGUIMIENTO CONTRATOS 2018'!$A:$AJ,14,0),0)</f>
        <v>0</v>
      </c>
      <c r="Y201" s="752">
        <f>+IFERROR(VLOOKUP($A201,'[4]SEGUIMIENTO CONTRATOS 2018'!$A:$AJ,15,0),0)</f>
        <v>48000000</v>
      </c>
      <c r="Z201" s="752">
        <f>+IFERROR(VLOOKUP($A201,'[4]SEGUIMIENTO CONTRATOS 2018'!$A:$AJ,15,0),0)</f>
        <v>48000000</v>
      </c>
      <c r="AA201" s="698" t="str">
        <f>+IFERROR(VLOOKUP($A201,'[4]SEGUIMIENTO CONTRATOS 2018'!$A:$AJ,16,0)," ")</f>
        <v>Ocho (8) mensualidades vencidas, cada una por valor de SEIS MILLONES DE PESOS ($6’000.000) M/CTE.</v>
      </c>
      <c r="AB201" s="698" t="str">
        <f>+IFERROR(VLOOKUP($A201,'[4]SEGUIMIENTO CONTRATOS 2018'!$A:$AL,38,0)," ")</f>
        <v>14718</v>
      </c>
      <c r="AC201" s="698" t="str">
        <f>+IFERROR(VLOOKUP($A201,'[4]SEGUIMIENTO CONTRATOS 2018'!$A:$AJ,24,0)," ")</f>
        <v>Ocho (8) meses, contados a partir del perfeccionamiento del mismo y registro presupuestal.</v>
      </c>
      <c r="AD201" s="751">
        <f>+IFERROR(VLOOKUP($A201,'[4]SEGUIMIENTO CONTRATOS 2018'!$A:$AJ,25,0)," ")</f>
        <v>43122</v>
      </c>
      <c r="AE201" s="751">
        <f>+IFERROR(VLOOKUP($A201,'[4]SEGUIMIENTO CONTRATOS 2018'!$A:$AJ,26,0)," ")</f>
        <v>43364</v>
      </c>
      <c r="AF201" s="698" t="str">
        <f>+IFERROR(VLOOKUP($A201,'[4]SEGUIMIENTO CONTRATOS 2018'!$A:$AJ,30,0)," ")</f>
        <v xml:space="preserve">ALEJANDRO BECKER ROJAS </v>
      </c>
      <c r="AG201" s="698" t="str">
        <f>+IFERROR(VLOOKUP($A201,'[4]SEGUIMIENTO CONTRATOS 2018'!$A:$AJ,31,0)," ")</f>
        <v xml:space="preserve">DIRECCION DE DESARROLLO ORGANIZACIONAL  </v>
      </c>
    </row>
    <row r="202" spans="1:33" ht="136.5" x14ac:dyDescent="0.25">
      <c r="A202" s="690">
        <f t="shared" si="6"/>
        <v>177</v>
      </c>
      <c r="B202" s="691" t="s">
        <v>523</v>
      </c>
      <c r="C202" s="692">
        <v>80101706</v>
      </c>
      <c r="D202" s="693" t="s">
        <v>524</v>
      </c>
      <c r="E202" s="691" t="s">
        <v>48</v>
      </c>
      <c r="F202" s="691">
        <v>1</v>
      </c>
      <c r="G202" s="694" t="s">
        <v>73</v>
      </c>
      <c r="H202" s="695">
        <v>8</v>
      </c>
      <c r="I202" s="691" t="s">
        <v>61</v>
      </c>
      <c r="J202" s="691" t="s">
        <v>66</v>
      </c>
      <c r="K202" s="691" t="s">
        <v>617</v>
      </c>
      <c r="L202" s="696">
        <v>48000000</v>
      </c>
      <c r="M202" s="697">
        <f t="shared" si="5"/>
        <v>48000000</v>
      </c>
      <c r="N202" s="691" t="s">
        <v>51</v>
      </c>
      <c r="O202" s="691" t="s">
        <v>36</v>
      </c>
      <c r="P202" s="691" t="s">
        <v>525</v>
      </c>
      <c r="Q202" s="80"/>
      <c r="R202" s="698" t="str">
        <f>+IFERROR(VLOOKUP($A202,'[4]SEGUIMIENTO CONTRATOS 2018'!$A:$AJ,2,0)," ")</f>
        <v>113-2018</v>
      </c>
      <c r="S202" s="698" t="str">
        <f>+IFERROR(VLOOKUP($A202,'[4]SEGUIMIENTO CONTRATOS 2018'!$A:$AJ,3,0)," ")</f>
        <v>LUZ STELLA CANTOR CARVAJAL</v>
      </c>
      <c r="T202" s="751">
        <f>+IFERROR(VLOOKUP($A202,'[4]SEGUIMIENTO CONTRATOS 2018'!$A:$AJ,8,0)," ")</f>
        <v>43118</v>
      </c>
      <c r="U202" s="698" t="str">
        <f>+IFERROR(VLOOKUP($A202,'[4]SEGUIMIENTO CONTRATOS 2018'!$A:$AJ,9,0)," ")</f>
        <v>Prestar servicios profesionales a la Dirección de Desarrollo Organizacional de Función Pública, para apoyar la implementación de la Estrategia de Gestión Territorial, a través de la ejecución de los Planes de Acción Técnicos (PAT), en las entidades territoriales asignadas.</v>
      </c>
      <c r="V202" s="698" t="str">
        <f>+IFERROR(VLOOKUP($A202,'[4]SEGUIMIENTO CONTRATOS 2018'!$A:$AJ,11,0)," ")</f>
        <v>PRESTACION DE SERVICIOS PROFESIONALES</v>
      </c>
      <c r="W202" s="752">
        <f>+IFERROR(VLOOKUP($A202,'[4]SEGUIMIENTO CONTRATOS 2018'!$A:$AJ,13,0),0)</f>
        <v>48000000</v>
      </c>
      <c r="X202" s="698">
        <f>+IFERROR(VLOOKUP($A202,'[4]SEGUIMIENTO CONTRATOS 2018'!$A:$AJ,14,0),0)</f>
        <v>0</v>
      </c>
      <c r="Y202" s="752">
        <f>+IFERROR(VLOOKUP($A202,'[4]SEGUIMIENTO CONTRATOS 2018'!$A:$AJ,15,0),0)</f>
        <v>48000000</v>
      </c>
      <c r="Z202" s="752">
        <f>+IFERROR(VLOOKUP($A202,'[4]SEGUIMIENTO CONTRATOS 2018'!$A:$AJ,15,0),0)</f>
        <v>48000000</v>
      </c>
      <c r="AA202" s="698" t="str">
        <f>+IFERROR(VLOOKUP($A202,'[4]SEGUIMIENTO CONTRATOS 2018'!$A:$AJ,16,0)," ")</f>
        <v>Ocho (8) mensualidades vencidas, cada una por valor de SEIS MILLONES DE PESOS ($6’000.000) M/CTE.</v>
      </c>
      <c r="AB202" s="698" t="str">
        <f>+IFERROR(VLOOKUP($A202,'[4]SEGUIMIENTO CONTRATOS 2018'!$A:$AL,38,0)," ")</f>
        <v>14818</v>
      </c>
      <c r="AC202" s="698" t="str">
        <f>+IFERROR(VLOOKUP($A202,'[4]SEGUIMIENTO CONTRATOS 2018'!$A:$AJ,24,0)," ")</f>
        <v>Ocho (8) meses, contado a partir del perfeccionamiento del mismo y registro presupuestal.</v>
      </c>
      <c r="AD202" s="751">
        <f>+IFERROR(VLOOKUP($A202,'[4]SEGUIMIENTO CONTRATOS 2018'!$A:$AJ,25,0)," ")</f>
        <v>43119</v>
      </c>
      <c r="AE202" s="751">
        <f>+IFERROR(VLOOKUP($A202,'[4]SEGUIMIENTO CONTRATOS 2018'!$A:$AJ,26,0)," ")</f>
        <v>43361</v>
      </c>
      <c r="AF202" s="698" t="str">
        <f>+IFERROR(VLOOKUP($A202,'[4]SEGUIMIENTO CONTRATOS 2018'!$A:$AJ,30,0)," ")</f>
        <v xml:space="preserve">ALEJANDRO BECKER ROJAS </v>
      </c>
      <c r="AG202" s="698" t="str">
        <f>+IFERROR(VLOOKUP($A202,'[4]SEGUIMIENTO CONTRATOS 2018'!$A:$AJ,31,0)," ")</f>
        <v xml:space="preserve">DIRECCION DE DESARROLLO ORGANIZACIONAL  </v>
      </c>
    </row>
    <row r="203" spans="1:33" ht="136.5" x14ac:dyDescent="0.25">
      <c r="A203" s="690">
        <f t="shared" si="6"/>
        <v>178</v>
      </c>
      <c r="B203" s="691" t="s">
        <v>523</v>
      </c>
      <c r="C203" s="692">
        <v>80101706</v>
      </c>
      <c r="D203" s="693" t="s">
        <v>524</v>
      </c>
      <c r="E203" s="691" t="s">
        <v>48</v>
      </c>
      <c r="F203" s="691">
        <v>1</v>
      </c>
      <c r="G203" s="694" t="s">
        <v>73</v>
      </c>
      <c r="H203" s="695">
        <v>8</v>
      </c>
      <c r="I203" s="691" t="s">
        <v>61</v>
      </c>
      <c r="J203" s="691" t="s">
        <v>66</v>
      </c>
      <c r="K203" s="691" t="s">
        <v>617</v>
      </c>
      <c r="L203" s="696">
        <v>48000000</v>
      </c>
      <c r="M203" s="697">
        <f t="shared" si="5"/>
        <v>48000000</v>
      </c>
      <c r="N203" s="691" t="s">
        <v>51</v>
      </c>
      <c r="O203" s="691" t="s">
        <v>36</v>
      </c>
      <c r="P203" s="691" t="s">
        <v>525</v>
      </c>
      <c r="Q203" s="80"/>
      <c r="R203" s="698" t="str">
        <f>+IFERROR(VLOOKUP($A203,'[4]SEGUIMIENTO CONTRATOS 2018'!$A:$AJ,2,0)," ")</f>
        <v>097-2018</v>
      </c>
      <c r="S203" s="698" t="str">
        <f>+IFERROR(VLOOKUP($A203,'[4]SEGUIMIENTO CONTRATOS 2018'!$A:$AJ,3,0)," ")</f>
        <v>DIANA PATRICIA GUERRERO VALENCIA</v>
      </c>
      <c r="T203" s="751">
        <f>+IFERROR(VLOOKUP($A203,'[4]SEGUIMIENTO CONTRATOS 2018'!$A:$AJ,8,0)," ")</f>
        <v>43117</v>
      </c>
      <c r="U203" s="698" t="str">
        <f>+IFERROR(VLOOKUP($A203,'[4]SEGUIMIENTO CONTRATOS 2018'!$A:$AJ,9,0)," ")</f>
        <v>Prestar servicios profesionales a la Dirección de Desarrollo Organizacional de Función Pública, para apoyar la implementación de la Estrategia de Gestión Territorial, a través de la ejecución de los Planes de Acción Técnicos (PAT), en las entidades territoriales asignadas.</v>
      </c>
      <c r="V203" s="698" t="str">
        <f>+IFERROR(VLOOKUP($A203,'[4]SEGUIMIENTO CONTRATOS 2018'!$A:$AJ,11,0)," ")</f>
        <v>PRESTACION DE SERVICIOS PROFESIONALES</v>
      </c>
      <c r="W203" s="752">
        <f>+IFERROR(VLOOKUP($A203,'[4]SEGUIMIENTO CONTRATOS 2018'!$A:$AJ,13,0),0)</f>
        <v>48000000</v>
      </c>
      <c r="X203" s="698">
        <f>+IFERROR(VLOOKUP($A203,'[4]SEGUIMIENTO CONTRATOS 2018'!$A:$AJ,14,0),0)</f>
        <v>0</v>
      </c>
      <c r="Y203" s="752">
        <f>+IFERROR(VLOOKUP($A203,'[4]SEGUIMIENTO CONTRATOS 2018'!$A:$AJ,15,0),0)</f>
        <v>48000000</v>
      </c>
      <c r="Z203" s="752">
        <f>+IFERROR(VLOOKUP($A203,'[4]SEGUIMIENTO CONTRATOS 2018'!$A:$AJ,15,0),0)</f>
        <v>48000000</v>
      </c>
      <c r="AA203" s="698" t="str">
        <f>+IFERROR(VLOOKUP($A203,'[4]SEGUIMIENTO CONTRATOS 2018'!$A:$AJ,16,0)," ")</f>
        <v>Ocho (8) mensualidades vencidas, cada una por valor de SEIS MILLONES DE PESOS ($6’000.000) M/CTE.</v>
      </c>
      <c r="AB203" s="698" t="str">
        <f>+IFERROR(VLOOKUP($A203,'[4]SEGUIMIENTO CONTRATOS 2018'!$A:$AL,38,0)," ")</f>
        <v>14918</v>
      </c>
      <c r="AC203" s="698" t="str">
        <f>+IFERROR(VLOOKUP($A203,'[4]SEGUIMIENTO CONTRATOS 2018'!$A:$AJ,24,0)," ")</f>
        <v>Ocho (8) meses, contados a partir del perfeccionamiento del mismo y registro presupuestal.</v>
      </c>
      <c r="AD203" s="751">
        <f>+IFERROR(VLOOKUP($A203,'[4]SEGUIMIENTO CONTRATOS 2018'!$A:$AJ,25,0)," ")</f>
        <v>43122</v>
      </c>
      <c r="AE203" s="751">
        <f>+IFERROR(VLOOKUP($A203,'[4]SEGUIMIENTO CONTRATOS 2018'!$A:$AJ,26,0)," ")</f>
        <v>43364</v>
      </c>
      <c r="AF203" s="698" t="str">
        <f>+IFERROR(VLOOKUP($A203,'[4]SEGUIMIENTO CONTRATOS 2018'!$A:$AJ,30,0)," ")</f>
        <v xml:space="preserve">ALEJANDRO BECKER ROJAS </v>
      </c>
      <c r="AG203" s="698" t="str">
        <f>+IFERROR(VLOOKUP($A203,'[4]SEGUIMIENTO CONTRATOS 2018'!$A:$AJ,31,0)," ")</f>
        <v xml:space="preserve">DIRECCION DE DESARROLLO ORGANIZACIONAL  </v>
      </c>
    </row>
    <row r="204" spans="1:33" ht="117" x14ac:dyDescent="0.25">
      <c r="A204" s="690">
        <f t="shared" si="6"/>
        <v>179</v>
      </c>
      <c r="B204" s="691" t="s">
        <v>523</v>
      </c>
      <c r="C204" s="692">
        <v>80101706</v>
      </c>
      <c r="D204" s="693" t="s">
        <v>524</v>
      </c>
      <c r="E204" s="691" t="s">
        <v>48</v>
      </c>
      <c r="F204" s="691">
        <v>1</v>
      </c>
      <c r="G204" s="694" t="s">
        <v>73</v>
      </c>
      <c r="H204" s="695">
        <v>8</v>
      </c>
      <c r="I204" s="691" t="s">
        <v>61</v>
      </c>
      <c r="J204" s="691" t="s">
        <v>66</v>
      </c>
      <c r="K204" s="691" t="s">
        <v>617</v>
      </c>
      <c r="L204" s="696">
        <v>72000000</v>
      </c>
      <c r="M204" s="697">
        <f t="shared" si="5"/>
        <v>72000000</v>
      </c>
      <c r="N204" s="691" t="s">
        <v>51</v>
      </c>
      <c r="O204" s="691" t="s">
        <v>36</v>
      </c>
      <c r="P204" s="691" t="s">
        <v>525</v>
      </c>
      <c r="Q204" s="80"/>
      <c r="R204" s="698" t="str">
        <f>+IFERROR(VLOOKUP($A204,'[4]SEGUIMIENTO CONTRATOS 2018'!$A:$AJ,2,0)," ")</f>
        <v>095-2018</v>
      </c>
      <c r="S204" s="698" t="str">
        <f>+IFERROR(VLOOKUP($A204,'[4]SEGUIMIENTO CONTRATOS 2018'!$A:$AJ,3,0)," ")</f>
        <v>SUSY JEHIMY HERNANDEZ PIRACHICAN</v>
      </c>
      <c r="T204" s="751">
        <f>+IFERROR(VLOOKUP($A204,'[4]SEGUIMIENTO CONTRATOS 2018'!$A:$AJ,8,0)," ")</f>
        <v>43117</v>
      </c>
      <c r="U204" s="698" t="str">
        <f>+IFERROR(VLOOKUP($A204,'[4]SEGUIMIENTO CONTRATOS 2018'!$A:$AJ,9,0)," ")</f>
        <v>Prestar servicios profesionales en la Dirección de Desarrollo Organizacional de Función Pública, para apoyar la implementación de los Planes de Acción Técnicos (PAT) en el marco de la tercera fase de la Estrategia de Gestión Territorial.</v>
      </c>
      <c r="V204" s="698" t="str">
        <f>+IFERROR(VLOOKUP($A204,'[4]SEGUIMIENTO CONTRATOS 2018'!$A:$AJ,11,0)," ")</f>
        <v>PRESTACION DE SERVICIOS PROFESIONALES</v>
      </c>
      <c r="W204" s="752">
        <f>+IFERROR(VLOOKUP($A204,'[4]SEGUIMIENTO CONTRATOS 2018'!$A:$AJ,13,0),0)</f>
        <v>72000000</v>
      </c>
      <c r="X204" s="698">
        <f>+IFERROR(VLOOKUP($A204,'[4]SEGUIMIENTO CONTRATOS 2018'!$A:$AJ,14,0),0)</f>
        <v>0</v>
      </c>
      <c r="Y204" s="752">
        <f>+IFERROR(VLOOKUP($A204,'[4]SEGUIMIENTO CONTRATOS 2018'!$A:$AJ,15,0),0)</f>
        <v>72000000</v>
      </c>
      <c r="Z204" s="752">
        <f>+IFERROR(VLOOKUP($A204,'[4]SEGUIMIENTO CONTRATOS 2018'!$A:$AJ,15,0),0)</f>
        <v>72000000</v>
      </c>
      <c r="AA204" s="698" t="str">
        <f>+IFERROR(VLOOKUP($A204,'[4]SEGUIMIENTO CONTRATOS 2018'!$A:$AJ,16,0)," ")</f>
        <v>Ocho (8) mensualidades vencidas, cada una por valor de NUEVE MILLONES DE PESOS ($9’000.000) M/CTE.</v>
      </c>
      <c r="AB204" s="698" t="str">
        <f>+IFERROR(VLOOKUP($A204,'[4]SEGUIMIENTO CONTRATOS 2018'!$A:$AL,38,0)," ")</f>
        <v>15018</v>
      </c>
      <c r="AC204" s="698" t="str">
        <f>+IFERROR(VLOOKUP($A204,'[4]SEGUIMIENTO CONTRATOS 2018'!$A:$AJ,24,0)," ")</f>
        <v>Ocho (8) meses, contado a partir del perfeccionamiento del mismo y registro presupuestal.</v>
      </c>
      <c r="AD204" s="751">
        <f>+IFERROR(VLOOKUP($A204,'[4]SEGUIMIENTO CONTRATOS 2018'!$A:$AJ,25,0)," ")</f>
        <v>43118</v>
      </c>
      <c r="AE204" s="751">
        <f>+IFERROR(VLOOKUP($A204,'[4]SEGUIMIENTO CONTRATOS 2018'!$A:$AJ,26,0)," ")</f>
        <v>43360</v>
      </c>
      <c r="AF204" s="698" t="str">
        <f>+IFERROR(VLOOKUP($A204,'[4]SEGUIMIENTO CONTRATOS 2018'!$A:$AJ,30,0)," ")</f>
        <v xml:space="preserve">ALEJANDRO BECKER ROJAS </v>
      </c>
      <c r="AG204" s="698" t="str">
        <f>+IFERROR(VLOOKUP($A204,'[4]SEGUIMIENTO CONTRATOS 2018'!$A:$AJ,31,0)," ")</f>
        <v xml:space="preserve">DIRECCION DE DESARROLLO ORGANIZACIONAL  </v>
      </c>
    </row>
    <row r="205" spans="1:33" ht="136.5" x14ac:dyDescent="0.25">
      <c r="A205" s="690">
        <f t="shared" si="6"/>
        <v>180</v>
      </c>
      <c r="B205" s="691" t="s">
        <v>523</v>
      </c>
      <c r="C205" s="692">
        <v>80101706</v>
      </c>
      <c r="D205" s="693" t="s">
        <v>524</v>
      </c>
      <c r="E205" s="691" t="s">
        <v>48</v>
      </c>
      <c r="F205" s="691">
        <v>1</v>
      </c>
      <c r="G205" s="694" t="s">
        <v>73</v>
      </c>
      <c r="H205" s="695">
        <v>7</v>
      </c>
      <c r="I205" s="691" t="s">
        <v>61</v>
      </c>
      <c r="J205" s="691" t="s">
        <v>66</v>
      </c>
      <c r="K205" s="691" t="s">
        <v>617</v>
      </c>
      <c r="L205" s="696">
        <v>59500000</v>
      </c>
      <c r="M205" s="697">
        <f t="shared" si="5"/>
        <v>59500000</v>
      </c>
      <c r="N205" s="691" t="s">
        <v>51</v>
      </c>
      <c r="O205" s="691" t="s">
        <v>36</v>
      </c>
      <c r="P205" s="691" t="s">
        <v>525</v>
      </c>
      <c r="Q205" s="80"/>
      <c r="R205" s="698" t="str">
        <f>+IFERROR(VLOOKUP($A205,'[4]SEGUIMIENTO CONTRATOS 2018'!$A:$AJ,2,0)," ")</f>
        <v>059-2018</v>
      </c>
      <c r="S205" s="698" t="str">
        <f>+IFERROR(VLOOKUP($A205,'[4]SEGUIMIENTO CONTRATOS 2018'!$A:$AJ,3,0)," ")</f>
        <v>JULIO CÉSAR OVALLE VARGAS</v>
      </c>
      <c r="T205" s="751">
        <f>+IFERROR(VLOOKUP($A205,'[4]SEGUIMIENTO CONTRATOS 2018'!$A:$AJ,8,0)," ")</f>
        <v>43111</v>
      </c>
      <c r="U205" s="698" t="str">
        <f>+IFERROR(VLOOKUP($A205,'[4]SEGUIMIENTO CONTRATOS 2018'!$A:$AJ,9,0)," ")</f>
        <v>Prestar servicios profesionales a Función Pública para apoyar la implementación del Modelo Integrado de Planeación y Gestión (MIPG) en las entidades del orden territorial que le sean asignadas, en desarrollo de la tercera fase de la Estrategia de Gestión Territorial.</v>
      </c>
      <c r="V205" s="698" t="str">
        <f>+IFERROR(VLOOKUP($A205,'[4]SEGUIMIENTO CONTRATOS 2018'!$A:$AJ,11,0)," ")</f>
        <v>PRESTACION DE SERVICIOS PROFESIONALES</v>
      </c>
      <c r="W205" s="752">
        <f>+IFERROR(VLOOKUP($A205,'[4]SEGUIMIENTO CONTRATOS 2018'!$A:$AJ,13,0),0)</f>
        <v>59500000</v>
      </c>
      <c r="X205" s="698">
        <f>+IFERROR(VLOOKUP($A205,'[4]SEGUIMIENTO CONTRATOS 2018'!$A:$AJ,14,0),0)</f>
        <v>0</v>
      </c>
      <c r="Y205" s="752">
        <f>+IFERROR(VLOOKUP($A205,'[4]SEGUIMIENTO CONTRATOS 2018'!$A:$AJ,15,0),0)</f>
        <v>59500000</v>
      </c>
      <c r="Z205" s="752">
        <f>+IFERROR(VLOOKUP($A205,'[4]SEGUIMIENTO CONTRATOS 2018'!$A:$AJ,15,0),0)</f>
        <v>59500000</v>
      </c>
      <c r="AA205" s="698" t="str">
        <f>+IFERROR(VLOOKUP($A205,'[4]SEGUIMIENTO CONTRATOS 2018'!$A:$AJ,16,0)," ")</f>
        <v>Siete (7) mensualidades vencidas, cada una por valor de OCHO MILLONES QUINIENTOS MIL PESOS ($8’500.000) M/CTE.</v>
      </c>
      <c r="AB205" s="698" t="str">
        <f>+IFERROR(VLOOKUP($A205,'[4]SEGUIMIENTO CONTRATOS 2018'!$A:$AL,38,0)," ")</f>
        <v>15118</v>
      </c>
      <c r="AC205" s="698" t="str">
        <f>+IFERROR(VLOOKUP($A205,'[4]SEGUIMIENTO CONTRATOS 2018'!$A:$AJ,24,0)," ")</f>
        <v>Siete (07) meses, contado a partir del perfeccionamiento del mismo y registro presupuestal.</v>
      </c>
      <c r="AD205" s="751">
        <f>+IFERROR(VLOOKUP($A205,'[4]SEGUIMIENTO CONTRATOS 2018'!$A:$AJ,25,0)," ")</f>
        <v>43122</v>
      </c>
      <c r="AE205" s="751">
        <f>+IFERROR(VLOOKUP($A205,'[4]SEGUIMIENTO CONTRATOS 2018'!$A:$AJ,26,0)," ")</f>
        <v>43333</v>
      </c>
      <c r="AF205" s="698" t="str">
        <f>+IFERROR(VLOOKUP($A205,'[4]SEGUIMIENTO CONTRATOS 2018'!$A:$AJ,30,0)," ")</f>
        <v>ALEJANDRO BECKER ROJAS</v>
      </c>
      <c r="AG205" s="698" t="str">
        <f>+IFERROR(VLOOKUP($A205,'[4]SEGUIMIENTO CONTRATOS 2018'!$A:$AJ,31,0)," ")</f>
        <v xml:space="preserve">DIRECCION DE DESARROLLO ORGANIZACIONAL  </v>
      </c>
    </row>
    <row r="206" spans="1:33" ht="136.5" x14ac:dyDescent="0.25">
      <c r="A206" s="690">
        <f t="shared" si="6"/>
        <v>181</v>
      </c>
      <c r="B206" s="691" t="s">
        <v>523</v>
      </c>
      <c r="C206" s="692">
        <v>80101706</v>
      </c>
      <c r="D206" s="693" t="s">
        <v>524</v>
      </c>
      <c r="E206" s="691" t="s">
        <v>48</v>
      </c>
      <c r="F206" s="691">
        <v>1</v>
      </c>
      <c r="G206" s="694" t="s">
        <v>73</v>
      </c>
      <c r="H206" s="695">
        <v>7</v>
      </c>
      <c r="I206" s="691" t="s">
        <v>61</v>
      </c>
      <c r="J206" s="691" t="s">
        <v>66</v>
      </c>
      <c r="K206" s="691" t="s">
        <v>617</v>
      </c>
      <c r="L206" s="696">
        <v>59500000</v>
      </c>
      <c r="M206" s="697">
        <f t="shared" si="5"/>
        <v>59500000</v>
      </c>
      <c r="N206" s="691" t="s">
        <v>51</v>
      </c>
      <c r="O206" s="691" t="s">
        <v>36</v>
      </c>
      <c r="P206" s="691" t="s">
        <v>525</v>
      </c>
      <c r="Q206" s="80"/>
      <c r="R206" s="698" t="str">
        <f>+IFERROR(VLOOKUP($A206,'[4]SEGUIMIENTO CONTRATOS 2018'!$A:$AJ,2,0)," ")</f>
        <v>073-2018</v>
      </c>
      <c r="S206" s="698" t="str">
        <f>+IFERROR(VLOOKUP($A206,'[4]SEGUIMIENTO CONTRATOS 2018'!$A:$AJ,3,0)," ")</f>
        <v>TRINA MARCELA BOCANEGRA MONTALVO</v>
      </c>
      <c r="T206" s="751">
        <f>+IFERROR(VLOOKUP($A206,'[4]SEGUIMIENTO CONTRATOS 2018'!$A:$AJ,8,0)," ")</f>
        <v>43115</v>
      </c>
      <c r="U206" s="698" t="str">
        <f>+IFERROR(VLOOKUP($A206,'[4]SEGUIMIENTO CONTRATOS 2018'!$A:$AJ,9,0)," ")</f>
        <v>Prestar servicios profesionales a Función Pública para apoyar la implementación del Modelo Integrado de Planeación y Gestión (MIPG) en las entidades del orden territorial que le sean asignadas, en desarrollo de la tercera fase de la Estrategia de Gestión Territorial.</v>
      </c>
      <c r="V206" s="698" t="str">
        <f>+IFERROR(VLOOKUP($A206,'[4]SEGUIMIENTO CONTRATOS 2018'!$A:$AJ,11,0)," ")</f>
        <v>PRESTACION DE SERVICIOS PROFESIONALES</v>
      </c>
      <c r="W206" s="752">
        <f>+IFERROR(VLOOKUP($A206,'[4]SEGUIMIENTO CONTRATOS 2018'!$A:$AJ,13,0),0)</f>
        <v>59500000</v>
      </c>
      <c r="X206" s="698">
        <f>+IFERROR(VLOOKUP($A206,'[4]SEGUIMIENTO CONTRATOS 2018'!$A:$AJ,14,0),0)</f>
        <v>0</v>
      </c>
      <c r="Y206" s="752">
        <f>+IFERROR(VLOOKUP($A206,'[4]SEGUIMIENTO CONTRATOS 2018'!$A:$AJ,15,0),0)</f>
        <v>59500000</v>
      </c>
      <c r="Z206" s="752">
        <f>+IFERROR(VLOOKUP($A206,'[4]SEGUIMIENTO CONTRATOS 2018'!$A:$AJ,15,0),0)</f>
        <v>59500000</v>
      </c>
      <c r="AA206" s="698" t="str">
        <f>+IFERROR(VLOOKUP($A206,'[4]SEGUIMIENTO CONTRATOS 2018'!$A:$AJ,16,0)," ")</f>
        <v>Siete (7) mensualidades vencidas, cada una por valor de OCHO MILLONES QUINIENTOS MIL PESOS ($8’500.000) M/CTE.</v>
      </c>
      <c r="AB206" s="698" t="str">
        <f>+IFERROR(VLOOKUP($A206,'[4]SEGUIMIENTO CONTRATOS 2018'!$A:$AL,38,0)," ")</f>
        <v>15218</v>
      </c>
      <c r="AC206" s="698" t="str">
        <f>+IFERROR(VLOOKUP($A206,'[4]SEGUIMIENTO CONTRATOS 2018'!$A:$AJ,24,0)," ")</f>
        <v>Siete (07) meses, contado a partir del perfeccionamiento del mismo y registro presupuestal.</v>
      </c>
      <c r="AD206" s="751">
        <f>+IFERROR(VLOOKUP($A206,'[4]SEGUIMIENTO CONTRATOS 2018'!$A:$AJ,25,0)," ")</f>
        <v>43122</v>
      </c>
      <c r="AE206" s="751">
        <f>+IFERROR(VLOOKUP($A206,'[4]SEGUIMIENTO CONTRATOS 2018'!$A:$AJ,26,0)," ")</f>
        <v>43333</v>
      </c>
      <c r="AF206" s="698" t="str">
        <f>+IFERROR(VLOOKUP($A206,'[4]SEGUIMIENTO CONTRATOS 2018'!$A:$AJ,30,0)," ")</f>
        <v>ALEJANDRO BECKER ROJAS</v>
      </c>
      <c r="AG206" s="698" t="str">
        <f>+IFERROR(VLOOKUP($A206,'[4]SEGUIMIENTO CONTRATOS 2018'!$A:$AJ,31,0)," ")</f>
        <v xml:space="preserve">DIRECCION DE DESARROLLO ORGANIZACIONAL  </v>
      </c>
    </row>
    <row r="207" spans="1:33" ht="136.5" x14ac:dyDescent="0.25">
      <c r="A207" s="690">
        <f t="shared" si="6"/>
        <v>182</v>
      </c>
      <c r="B207" s="691" t="s">
        <v>523</v>
      </c>
      <c r="C207" s="692">
        <v>80101706</v>
      </c>
      <c r="D207" s="693" t="s">
        <v>524</v>
      </c>
      <c r="E207" s="691" t="s">
        <v>48</v>
      </c>
      <c r="F207" s="691">
        <v>1</v>
      </c>
      <c r="G207" s="694" t="s">
        <v>73</v>
      </c>
      <c r="H207" s="695">
        <v>7</v>
      </c>
      <c r="I207" s="691" t="s">
        <v>61</v>
      </c>
      <c r="J207" s="691" t="s">
        <v>66</v>
      </c>
      <c r="K207" s="691" t="s">
        <v>617</v>
      </c>
      <c r="L207" s="696">
        <v>59500000</v>
      </c>
      <c r="M207" s="697">
        <f t="shared" si="5"/>
        <v>59500000</v>
      </c>
      <c r="N207" s="691" t="s">
        <v>51</v>
      </c>
      <c r="O207" s="691" t="s">
        <v>36</v>
      </c>
      <c r="P207" s="691" t="s">
        <v>525</v>
      </c>
      <c r="Q207" s="80"/>
      <c r="R207" s="698" t="str">
        <f>+IFERROR(VLOOKUP($A207,'[4]SEGUIMIENTO CONTRATOS 2018'!$A:$AJ,2,0)," ")</f>
        <v>056-2018</v>
      </c>
      <c r="S207" s="698" t="str">
        <f>+IFERROR(VLOOKUP($A207,'[4]SEGUIMIENTO CONTRATOS 2018'!$A:$AJ,3,0)," ")</f>
        <v>ANGELA MARÍA CASTILLO LOZADA</v>
      </c>
      <c r="T207" s="751">
        <f>+IFERROR(VLOOKUP($A207,'[4]SEGUIMIENTO CONTRATOS 2018'!$A:$AJ,8,0)," ")</f>
        <v>43111</v>
      </c>
      <c r="U207" s="698" t="str">
        <f>+IFERROR(VLOOKUP($A207,'[4]SEGUIMIENTO CONTRATOS 2018'!$A:$AJ,9,0)," ")</f>
        <v>Prestar servicios profesionales a Función Pública para apoyar la implementación del Modelo Integrado de Planeación y Gestión (MIPG) en las entidades del orden territorial que le sean asignadas, en desarrollo de la tercera fase de la Estrategia de Gestión Territorial.</v>
      </c>
      <c r="V207" s="698" t="str">
        <f>+IFERROR(VLOOKUP($A207,'[4]SEGUIMIENTO CONTRATOS 2018'!$A:$AJ,11,0)," ")</f>
        <v>PRESTACION DE SERVICIOS PROFESIONALES</v>
      </c>
      <c r="W207" s="752">
        <f>+IFERROR(VLOOKUP($A207,'[4]SEGUIMIENTO CONTRATOS 2018'!$A:$AJ,13,0),0)</f>
        <v>59500000</v>
      </c>
      <c r="X207" s="698">
        <f>+IFERROR(VLOOKUP($A207,'[4]SEGUIMIENTO CONTRATOS 2018'!$A:$AJ,14,0),0)</f>
        <v>0</v>
      </c>
      <c r="Y207" s="752">
        <f>+IFERROR(VLOOKUP($A207,'[4]SEGUIMIENTO CONTRATOS 2018'!$A:$AJ,15,0),0)</f>
        <v>59500000</v>
      </c>
      <c r="Z207" s="752">
        <f>+IFERROR(VLOOKUP($A207,'[4]SEGUIMIENTO CONTRATOS 2018'!$A:$AJ,15,0),0)</f>
        <v>59500000</v>
      </c>
      <c r="AA207" s="698" t="str">
        <f>+IFERROR(VLOOKUP($A207,'[4]SEGUIMIENTO CONTRATOS 2018'!$A:$AJ,16,0)," ")</f>
        <v>Siete (7) mensualidades vencidas, cada una por valor de OCHO MILLONES QUINIENTOS MIL PESOS ($8’500.000) M/CTE.</v>
      </c>
      <c r="AB207" s="698" t="str">
        <f>+IFERROR(VLOOKUP($A207,'[4]SEGUIMIENTO CONTRATOS 2018'!$A:$AL,38,0)," ")</f>
        <v>15318</v>
      </c>
      <c r="AC207" s="698" t="str">
        <f>+IFERROR(VLOOKUP($A207,'[4]SEGUIMIENTO CONTRATOS 2018'!$A:$AJ,24,0)," ")</f>
        <v>Siete (07) meses, contado a partir del perfeccionamiento del mismo y registro presupuestal.</v>
      </c>
      <c r="AD207" s="751">
        <f>+IFERROR(VLOOKUP($A207,'[4]SEGUIMIENTO CONTRATOS 2018'!$A:$AJ,25,0)," ")</f>
        <v>43122</v>
      </c>
      <c r="AE207" s="751">
        <f>+IFERROR(VLOOKUP($A207,'[4]SEGUIMIENTO CONTRATOS 2018'!$A:$AJ,26,0)," ")</f>
        <v>43333</v>
      </c>
      <c r="AF207" s="698" t="str">
        <f>+IFERROR(VLOOKUP($A207,'[4]SEGUIMIENTO CONTRATOS 2018'!$A:$AJ,30,0)," ")</f>
        <v>ALEJANDRO BECKER ROJAS</v>
      </c>
      <c r="AG207" s="698" t="str">
        <f>+IFERROR(VLOOKUP($A207,'[4]SEGUIMIENTO CONTRATOS 2018'!$A:$AJ,31,0)," ")</f>
        <v xml:space="preserve">DIRECCION DE DESARROLLO ORGANIZACIONAL  </v>
      </c>
    </row>
    <row r="208" spans="1:33" ht="117" x14ac:dyDescent="0.25">
      <c r="A208" s="690">
        <f t="shared" si="6"/>
        <v>183</v>
      </c>
      <c r="B208" s="691" t="s">
        <v>523</v>
      </c>
      <c r="C208" s="692">
        <v>80101706</v>
      </c>
      <c r="D208" s="693" t="s">
        <v>524</v>
      </c>
      <c r="E208" s="691" t="s">
        <v>48</v>
      </c>
      <c r="F208" s="691">
        <v>1</v>
      </c>
      <c r="G208" s="694" t="s">
        <v>73</v>
      </c>
      <c r="H208" s="695">
        <v>7</v>
      </c>
      <c r="I208" s="691" t="s">
        <v>61</v>
      </c>
      <c r="J208" s="691" t="s">
        <v>66</v>
      </c>
      <c r="K208" s="691" t="s">
        <v>617</v>
      </c>
      <c r="L208" s="696">
        <v>59500000</v>
      </c>
      <c r="M208" s="697">
        <f t="shared" si="5"/>
        <v>59500000</v>
      </c>
      <c r="N208" s="691" t="s">
        <v>51</v>
      </c>
      <c r="O208" s="691" t="s">
        <v>36</v>
      </c>
      <c r="P208" s="691" t="s">
        <v>525</v>
      </c>
      <c r="Q208" s="80"/>
      <c r="R208" s="698" t="str">
        <f>+IFERROR(VLOOKUP($A208,'[4]SEGUIMIENTO CONTRATOS 2018'!$A:$AJ,2,0)," ")</f>
        <v>138-2018</v>
      </c>
      <c r="S208" s="698" t="str">
        <f>+IFERROR(VLOOKUP($A208,'[4]SEGUIMIENTO CONTRATOS 2018'!$A:$AJ,3,0)," ")</f>
        <v>PAOLA LILIANA QUIJANO BARÓN</v>
      </c>
      <c r="T208" s="751">
        <f>+IFERROR(VLOOKUP($A208,'[4]SEGUIMIENTO CONTRATOS 2018'!$A:$AJ,8,0)," ")</f>
        <v>43125</v>
      </c>
      <c r="U208" s="698" t="str">
        <f>+IFERROR(VLOOKUP($A208,'[4]SEGUIMIENTO CONTRATOS 2018'!$A:$AJ,9,0)," ")</f>
        <v xml:space="preserve">Prestar servicios profesionales a Función Pública para apoyar la implementación del Modelo Integrado de Planeación y Gestión (MIPG) en las entidades del orden territorial que le sean asignadas, en desarrollo de la tercera fase de la Estrategia de Gestión </v>
      </c>
      <c r="V208" s="698" t="str">
        <f>+IFERROR(VLOOKUP($A208,'[4]SEGUIMIENTO CONTRATOS 2018'!$A:$AJ,11,0)," ")</f>
        <v>PRESTACION DE SERVICIOS PROFESIONALES</v>
      </c>
      <c r="W208" s="752">
        <f>+IFERROR(VLOOKUP($A208,'[4]SEGUIMIENTO CONTRATOS 2018'!$A:$AJ,13,0),0)</f>
        <v>59500000</v>
      </c>
      <c r="X208" s="698">
        <f>+IFERROR(VLOOKUP($A208,'[4]SEGUIMIENTO CONTRATOS 2018'!$A:$AJ,14,0),0)</f>
        <v>0</v>
      </c>
      <c r="Y208" s="752">
        <f>+IFERROR(VLOOKUP($A208,'[4]SEGUIMIENTO CONTRATOS 2018'!$A:$AJ,15,0),0)</f>
        <v>59500000</v>
      </c>
      <c r="Z208" s="752">
        <f>+IFERROR(VLOOKUP($A208,'[4]SEGUIMIENTO CONTRATOS 2018'!$A:$AJ,15,0),0)</f>
        <v>59500000</v>
      </c>
      <c r="AA208" s="698" t="str">
        <f>+IFERROR(VLOOKUP($A208,'[4]SEGUIMIENTO CONTRATOS 2018'!$A:$AJ,16,0)," ")</f>
        <v>Siete (7) mensualidades vencidas, cada una por valor de OCHO MILLONES QUINIENTOS MIL PESOS ($8.500.000) M/CTE.</v>
      </c>
      <c r="AB208" s="698" t="str">
        <f>+IFERROR(VLOOKUP($A208,'[4]SEGUIMIENTO CONTRATOS 2018'!$A:$AL,38,0)," ")</f>
        <v>15418</v>
      </c>
      <c r="AC208" s="698" t="str">
        <f>+IFERROR(VLOOKUP($A208,'[4]SEGUIMIENTO CONTRATOS 2018'!$A:$AJ,24,0)," ")</f>
        <v>Siete (7) meses, contado a partir del perfeccionamiento del mismo y registro presupuestal.</v>
      </c>
      <c r="AD208" s="751">
        <f>+IFERROR(VLOOKUP($A208,'[4]SEGUIMIENTO CONTRATOS 2018'!$A:$AJ,25,0)," ")</f>
        <v>43126</v>
      </c>
      <c r="AE208" s="751">
        <f>+IFERROR(VLOOKUP($A208,'[4]SEGUIMIENTO CONTRATOS 2018'!$A:$AJ,26,0)," ")</f>
        <v>43337</v>
      </c>
      <c r="AF208" s="698" t="str">
        <f>+IFERROR(VLOOKUP($A208,'[4]SEGUIMIENTO CONTRATOS 2018'!$A:$AJ,30,0)," ")</f>
        <v xml:space="preserve">ALEJANDRO BECKER ROJAS </v>
      </c>
      <c r="AG208" s="698" t="str">
        <f>+IFERROR(VLOOKUP($A208,'[4]SEGUIMIENTO CONTRATOS 2018'!$A:$AJ,31,0)," ")</f>
        <v xml:space="preserve">DIRECCION DE DESARROLLO ORGANIZACIONAL  </v>
      </c>
    </row>
    <row r="209" spans="1:33" ht="136.5" x14ac:dyDescent="0.25">
      <c r="A209" s="690">
        <f t="shared" si="6"/>
        <v>184</v>
      </c>
      <c r="B209" s="691" t="s">
        <v>523</v>
      </c>
      <c r="C209" s="692">
        <v>80101706</v>
      </c>
      <c r="D209" s="693" t="s">
        <v>524</v>
      </c>
      <c r="E209" s="691" t="s">
        <v>48</v>
      </c>
      <c r="F209" s="691">
        <v>1</v>
      </c>
      <c r="G209" s="694" t="s">
        <v>73</v>
      </c>
      <c r="H209" s="695">
        <v>7</v>
      </c>
      <c r="I209" s="691" t="s">
        <v>61</v>
      </c>
      <c r="J209" s="691" t="s">
        <v>66</v>
      </c>
      <c r="K209" s="691" t="s">
        <v>617</v>
      </c>
      <c r="L209" s="696">
        <v>59500000</v>
      </c>
      <c r="M209" s="697">
        <f t="shared" ref="M209:M222" si="7">+L209</f>
        <v>59500000</v>
      </c>
      <c r="N209" s="691" t="s">
        <v>51</v>
      </c>
      <c r="O209" s="691" t="s">
        <v>36</v>
      </c>
      <c r="P209" s="691" t="s">
        <v>525</v>
      </c>
      <c r="Q209" s="80"/>
      <c r="R209" s="698" t="str">
        <f>+IFERROR(VLOOKUP($A209,'[4]SEGUIMIENTO CONTRATOS 2018'!$A:$AJ,2,0)," ")</f>
        <v>068-2018</v>
      </c>
      <c r="S209" s="698" t="str">
        <f>+IFERROR(VLOOKUP($A209,'[4]SEGUIMIENTO CONTRATOS 2018'!$A:$AJ,3,0)," ")</f>
        <v>PAULA CAROLINA VILLAMIZAR</v>
      </c>
      <c r="T209" s="751">
        <f>+IFERROR(VLOOKUP($A209,'[4]SEGUIMIENTO CONTRATOS 2018'!$A:$AJ,8,0)," ")</f>
        <v>43115</v>
      </c>
      <c r="U209" s="698" t="str">
        <f>+IFERROR(VLOOKUP($A209,'[4]SEGUIMIENTO CONTRATOS 2018'!$A:$AJ,9,0)," ")</f>
        <v>Prestar servicios profesionales a Función Pública para apoyar la implementación del Modelo Integrado de Planeación y Gestión (MIPG) en las entidades del orden territorial que le sean asignadas, en desarrollo de la tercera fase de la Estrategia de Gestión Territorial.</v>
      </c>
      <c r="V209" s="698" t="str">
        <f>+IFERROR(VLOOKUP($A209,'[4]SEGUIMIENTO CONTRATOS 2018'!$A:$AJ,11,0)," ")</f>
        <v>PRESTACION DE SERVICIOS PROFESIONALES</v>
      </c>
      <c r="W209" s="752">
        <f>+IFERROR(VLOOKUP($A209,'[4]SEGUIMIENTO CONTRATOS 2018'!$A:$AJ,13,0),0)</f>
        <v>59500000</v>
      </c>
      <c r="X209" s="698">
        <f>+IFERROR(VLOOKUP($A209,'[4]SEGUIMIENTO CONTRATOS 2018'!$A:$AJ,14,0),0)</f>
        <v>0</v>
      </c>
      <c r="Y209" s="752">
        <f>+IFERROR(VLOOKUP($A209,'[4]SEGUIMIENTO CONTRATOS 2018'!$A:$AJ,15,0),0)</f>
        <v>59500000</v>
      </c>
      <c r="Z209" s="752">
        <f>+IFERROR(VLOOKUP($A209,'[4]SEGUIMIENTO CONTRATOS 2018'!$A:$AJ,15,0),0)</f>
        <v>59500000</v>
      </c>
      <c r="AA209" s="698" t="str">
        <f>+IFERROR(VLOOKUP($A209,'[4]SEGUIMIENTO CONTRATOS 2018'!$A:$AJ,16,0)," ")</f>
        <v>Siete (7) mensualidades vencidas, cada una por valor de OCHO MILLONES QUINIENTOS MIL PESOS ($8’500.000) M/CTE.</v>
      </c>
      <c r="AB209" s="698" t="str">
        <f>+IFERROR(VLOOKUP($A209,'[4]SEGUIMIENTO CONTRATOS 2018'!$A:$AL,38,0)," ")</f>
        <v>15518</v>
      </c>
      <c r="AC209" s="698" t="str">
        <f>+IFERROR(VLOOKUP($A209,'[4]SEGUIMIENTO CONTRATOS 2018'!$A:$AJ,24,0)," ")</f>
        <v>Siete (07) meses, contado a partir del perfeccionamiento del mismo y registro presupuestal.</v>
      </c>
      <c r="AD209" s="751">
        <f>+IFERROR(VLOOKUP($A209,'[4]SEGUIMIENTO CONTRATOS 2018'!$A:$AJ,25,0)," ")</f>
        <v>43122</v>
      </c>
      <c r="AE209" s="751">
        <f>+IFERROR(VLOOKUP($A209,'[4]SEGUIMIENTO CONTRATOS 2018'!$A:$AJ,26,0)," ")</f>
        <v>43333</v>
      </c>
      <c r="AF209" s="698" t="str">
        <f>+IFERROR(VLOOKUP($A209,'[4]SEGUIMIENTO CONTRATOS 2018'!$A:$AJ,30,0)," ")</f>
        <v>ALEJANDRO BECKER ROJAS</v>
      </c>
      <c r="AG209" s="698" t="str">
        <f>+IFERROR(VLOOKUP($A209,'[4]SEGUIMIENTO CONTRATOS 2018'!$A:$AJ,31,0)," ")</f>
        <v xml:space="preserve">DIRECCION DE DESARROLLO ORGANIZACIONAL  </v>
      </c>
    </row>
    <row r="210" spans="1:33" ht="136.5" x14ac:dyDescent="0.25">
      <c r="A210" s="690">
        <f t="shared" si="6"/>
        <v>185</v>
      </c>
      <c r="B210" s="691" t="s">
        <v>523</v>
      </c>
      <c r="C210" s="692">
        <v>80101706</v>
      </c>
      <c r="D210" s="693" t="s">
        <v>524</v>
      </c>
      <c r="E210" s="691" t="s">
        <v>48</v>
      </c>
      <c r="F210" s="691">
        <v>1</v>
      </c>
      <c r="G210" s="694" t="s">
        <v>73</v>
      </c>
      <c r="H210" s="695">
        <v>7</v>
      </c>
      <c r="I210" s="691" t="s">
        <v>61</v>
      </c>
      <c r="J210" s="691" t="s">
        <v>66</v>
      </c>
      <c r="K210" s="691" t="s">
        <v>617</v>
      </c>
      <c r="L210" s="696">
        <v>59500000</v>
      </c>
      <c r="M210" s="697">
        <f t="shared" si="7"/>
        <v>59500000</v>
      </c>
      <c r="N210" s="691" t="s">
        <v>51</v>
      </c>
      <c r="O210" s="691" t="s">
        <v>36</v>
      </c>
      <c r="P210" s="691" t="s">
        <v>525</v>
      </c>
      <c r="Q210" s="80"/>
      <c r="R210" s="698" t="str">
        <f>+IFERROR(VLOOKUP($A210,'[4]SEGUIMIENTO CONTRATOS 2018'!$A:$AJ,2,0)," ")</f>
        <v>061-2018</v>
      </c>
      <c r="S210" s="698" t="str">
        <f>+IFERROR(VLOOKUP($A210,'[4]SEGUIMIENTO CONTRATOS 2018'!$A:$AJ,3,0)," ")</f>
        <v>ANDREA PAOLA PRIETO MOSQUERA</v>
      </c>
      <c r="T210" s="751">
        <f>+IFERROR(VLOOKUP($A210,'[4]SEGUIMIENTO CONTRATOS 2018'!$A:$AJ,8,0)," ")</f>
        <v>43111</v>
      </c>
      <c r="U210" s="698" t="str">
        <f>+IFERROR(VLOOKUP($A210,'[4]SEGUIMIENTO CONTRATOS 2018'!$A:$AJ,9,0)," ")</f>
        <v>Prestar servicios profesionales a Función Pública para apoyar la implementación del Modelo Integrado de Planeación y Gestión (MIPG) en las entidades del orden territorial que le sean asignadas, en desarrollo de la tercera fase de la Estrategia de Gestión Territorial.</v>
      </c>
      <c r="V210" s="698" t="str">
        <f>+IFERROR(VLOOKUP($A210,'[4]SEGUIMIENTO CONTRATOS 2018'!$A:$AJ,11,0)," ")</f>
        <v>PRESTACION DE SERVICIOS PROFESIONALES</v>
      </c>
      <c r="W210" s="752">
        <f>+IFERROR(VLOOKUP($A210,'[4]SEGUIMIENTO CONTRATOS 2018'!$A:$AJ,13,0),0)</f>
        <v>59500000</v>
      </c>
      <c r="X210" s="698">
        <f>+IFERROR(VLOOKUP($A210,'[4]SEGUIMIENTO CONTRATOS 2018'!$A:$AJ,14,0),0)</f>
        <v>0</v>
      </c>
      <c r="Y210" s="752">
        <f>+IFERROR(VLOOKUP($A210,'[4]SEGUIMIENTO CONTRATOS 2018'!$A:$AJ,15,0),0)</f>
        <v>59500000</v>
      </c>
      <c r="Z210" s="752">
        <f>+IFERROR(VLOOKUP($A210,'[4]SEGUIMIENTO CONTRATOS 2018'!$A:$AJ,15,0),0)</f>
        <v>59500000</v>
      </c>
      <c r="AA210" s="698" t="str">
        <f>+IFERROR(VLOOKUP($A210,'[4]SEGUIMIENTO CONTRATOS 2018'!$A:$AJ,16,0)," ")</f>
        <v>Siete (7) mensualidades vencidas, cada una por valor de OCHO MILLONES QUINIENTOS MIL PESOS ($8’500.000) M/CTE.</v>
      </c>
      <c r="AB210" s="698" t="str">
        <f>+IFERROR(VLOOKUP($A210,'[4]SEGUIMIENTO CONTRATOS 2018'!$A:$AL,38,0)," ")</f>
        <v>15618</v>
      </c>
      <c r="AC210" s="698" t="str">
        <f>+IFERROR(VLOOKUP($A210,'[4]SEGUIMIENTO CONTRATOS 2018'!$A:$AJ,24,0)," ")</f>
        <v>Siete (07) meses, contado a partir del perfeccionamiento del mismo y registro presupuestal.</v>
      </c>
      <c r="AD210" s="751">
        <f>+IFERROR(VLOOKUP($A210,'[4]SEGUIMIENTO CONTRATOS 2018'!$A:$AJ,25,0)," ")</f>
        <v>43122</v>
      </c>
      <c r="AE210" s="751">
        <f>+IFERROR(VLOOKUP($A210,'[4]SEGUIMIENTO CONTRATOS 2018'!$A:$AJ,26,0)," ")</f>
        <v>43333</v>
      </c>
      <c r="AF210" s="698" t="str">
        <f>+IFERROR(VLOOKUP($A210,'[4]SEGUIMIENTO CONTRATOS 2018'!$A:$AJ,30,0)," ")</f>
        <v>ALEJANDRO BECKER ROJAS</v>
      </c>
      <c r="AG210" s="698" t="str">
        <f>+IFERROR(VLOOKUP($A210,'[4]SEGUIMIENTO CONTRATOS 2018'!$A:$AJ,31,0)," ")</f>
        <v xml:space="preserve">DIRECCION DE DESARROLLO ORGANIZACIONAL  </v>
      </c>
    </row>
    <row r="211" spans="1:33" ht="136.5" x14ac:dyDescent="0.25">
      <c r="A211" s="690">
        <f t="shared" si="6"/>
        <v>186</v>
      </c>
      <c r="B211" s="691" t="s">
        <v>523</v>
      </c>
      <c r="C211" s="692">
        <v>80101706</v>
      </c>
      <c r="D211" s="693" t="s">
        <v>524</v>
      </c>
      <c r="E211" s="691" t="s">
        <v>48</v>
      </c>
      <c r="F211" s="691">
        <v>1</v>
      </c>
      <c r="G211" s="694" t="s">
        <v>73</v>
      </c>
      <c r="H211" s="695">
        <v>7</v>
      </c>
      <c r="I211" s="691" t="s">
        <v>61</v>
      </c>
      <c r="J211" s="691" t="s">
        <v>66</v>
      </c>
      <c r="K211" s="691" t="s">
        <v>617</v>
      </c>
      <c r="L211" s="696">
        <v>59500000</v>
      </c>
      <c r="M211" s="697">
        <f t="shared" si="7"/>
        <v>59500000</v>
      </c>
      <c r="N211" s="691" t="s">
        <v>51</v>
      </c>
      <c r="O211" s="691" t="s">
        <v>36</v>
      </c>
      <c r="P211" s="691" t="s">
        <v>525</v>
      </c>
      <c r="Q211" s="80"/>
      <c r="R211" s="698" t="str">
        <f>+IFERROR(VLOOKUP($A211,'[4]SEGUIMIENTO CONTRATOS 2018'!$A:$AJ,2,0)," ")</f>
        <v>060-2018</v>
      </c>
      <c r="S211" s="698" t="str">
        <f>+IFERROR(VLOOKUP($A211,'[4]SEGUIMIENTO CONTRATOS 2018'!$A:$AJ,3,0)," ")</f>
        <v>IVONNE PATRICIA BERNAL LOPEZ</v>
      </c>
      <c r="T211" s="751">
        <f>+IFERROR(VLOOKUP($A211,'[4]SEGUIMIENTO CONTRATOS 2018'!$A:$AJ,8,0)," ")</f>
        <v>43111</v>
      </c>
      <c r="U211" s="698" t="str">
        <f>+IFERROR(VLOOKUP($A211,'[4]SEGUIMIENTO CONTRATOS 2018'!$A:$AJ,9,0)," ")</f>
        <v>Prestar servicios profesionales a Función Pública para apoyar la implementación del Modelo Integrado de Planeación y Gestión (MIPG) en las entidades del orden territorial que le sean asignadas, en desarrollo de la tercera fase de la Estrategia de Gestión Territorial.</v>
      </c>
      <c r="V211" s="698" t="str">
        <f>+IFERROR(VLOOKUP($A211,'[4]SEGUIMIENTO CONTRATOS 2018'!$A:$AJ,11,0)," ")</f>
        <v>PRESTACION DE SERVICIOS PROFESIONALES</v>
      </c>
      <c r="W211" s="752">
        <f>+IFERROR(VLOOKUP($A211,'[4]SEGUIMIENTO CONTRATOS 2018'!$A:$AJ,13,0),0)</f>
        <v>59500000</v>
      </c>
      <c r="X211" s="698">
        <f>+IFERROR(VLOOKUP($A211,'[4]SEGUIMIENTO CONTRATOS 2018'!$A:$AJ,14,0),0)</f>
        <v>0</v>
      </c>
      <c r="Y211" s="752">
        <f>+IFERROR(VLOOKUP($A211,'[4]SEGUIMIENTO CONTRATOS 2018'!$A:$AJ,15,0),0)</f>
        <v>59500000</v>
      </c>
      <c r="Z211" s="752">
        <f>+IFERROR(VLOOKUP($A211,'[4]SEGUIMIENTO CONTRATOS 2018'!$A:$AJ,15,0),0)</f>
        <v>59500000</v>
      </c>
      <c r="AA211" s="698" t="str">
        <f>+IFERROR(VLOOKUP($A211,'[4]SEGUIMIENTO CONTRATOS 2018'!$A:$AJ,16,0)," ")</f>
        <v>Siete (7) mensualidades vencidas, cada una por valor de OCHO MILLONES QUINIENTOS MIL PESOS ($8’500.000) M/CTE.</v>
      </c>
      <c r="AB211" s="698" t="str">
        <f>+IFERROR(VLOOKUP($A211,'[4]SEGUIMIENTO CONTRATOS 2018'!$A:$AL,38,0)," ")</f>
        <v>15718</v>
      </c>
      <c r="AC211" s="698" t="str">
        <f>+IFERROR(VLOOKUP($A211,'[4]SEGUIMIENTO CONTRATOS 2018'!$A:$AJ,24,0)," ")</f>
        <v>Siete (07) meses, contado a partir del perfeccionamiento del mismo y registro presupuestal.</v>
      </c>
      <c r="AD211" s="751">
        <f>+IFERROR(VLOOKUP($A211,'[4]SEGUIMIENTO CONTRATOS 2018'!$A:$AJ,25,0)," ")</f>
        <v>43122</v>
      </c>
      <c r="AE211" s="751">
        <f>+IFERROR(VLOOKUP($A211,'[4]SEGUIMIENTO CONTRATOS 2018'!$A:$AJ,26,0)," ")</f>
        <v>43333</v>
      </c>
      <c r="AF211" s="698" t="str">
        <f>+IFERROR(VLOOKUP($A211,'[4]SEGUIMIENTO CONTRATOS 2018'!$A:$AJ,30,0)," ")</f>
        <v>ALEJANDRO BECKER ROJAS</v>
      </c>
      <c r="AG211" s="698" t="str">
        <f>+IFERROR(VLOOKUP($A211,'[4]SEGUIMIENTO CONTRATOS 2018'!$A:$AJ,31,0)," ")</f>
        <v xml:space="preserve">DIRECCION DE DESARROLLO ORGANIZACIONAL  </v>
      </c>
    </row>
    <row r="212" spans="1:33" ht="136.5" x14ac:dyDescent="0.25">
      <c r="A212" s="690">
        <f t="shared" si="6"/>
        <v>187</v>
      </c>
      <c r="B212" s="691" t="s">
        <v>523</v>
      </c>
      <c r="C212" s="692">
        <v>80101706</v>
      </c>
      <c r="D212" s="693" t="s">
        <v>524</v>
      </c>
      <c r="E212" s="691" t="s">
        <v>48</v>
      </c>
      <c r="F212" s="691">
        <v>1</v>
      </c>
      <c r="G212" s="694" t="s">
        <v>73</v>
      </c>
      <c r="H212" s="695">
        <v>7</v>
      </c>
      <c r="I212" s="691" t="s">
        <v>61</v>
      </c>
      <c r="J212" s="691" t="s">
        <v>66</v>
      </c>
      <c r="K212" s="691" t="s">
        <v>617</v>
      </c>
      <c r="L212" s="696">
        <v>59500000</v>
      </c>
      <c r="M212" s="697">
        <f t="shared" si="7"/>
        <v>59500000</v>
      </c>
      <c r="N212" s="691" t="s">
        <v>51</v>
      </c>
      <c r="O212" s="691" t="s">
        <v>36</v>
      </c>
      <c r="P212" s="691" t="s">
        <v>525</v>
      </c>
      <c r="Q212" s="80"/>
      <c r="R212" s="698" t="str">
        <f>+IFERROR(VLOOKUP($A212,'[4]SEGUIMIENTO CONTRATOS 2018'!$A:$AJ,2,0)," ")</f>
        <v>054-2018</v>
      </c>
      <c r="S212" s="698" t="str">
        <f>+IFERROR(VLOOKUP($A212,'[4]SEGUIMIENTO CONTRATOS 2018'!$A:$AJ,3,0)," ")</f>
        <v>CATALINA CARDONA OSORIO</v>
      </c>
      <c r="T212" s="751">
        <f>+IFERROR(VLOOKUP($A212,'[4]SEGUIMIENTO CONTRATOS 2018'!$A:$AJ,8,0)," ")</f>
        <v>43111</v>
      </c>
      <c r="U212" s="698" t="str">
        <f>+IFERROR(VLOOKUP($A212,'[4]SEGUIMIENTO CONTRATOS 2018'!$A:$AJ,9,0)," ")</f>
        <v>Prestar servicios profesionales a Función Pública para apoyar la implementación del Modelo Integrado de Planeación y Gestión (MIPG) en las entidades del orden territorial que le sean asignadas, en desarrollo de la tercera fase de la Estrategia de Gestión Territorial.</v>
      </c>
      <c r="V212" s="698" t="str">
        <f>+IFERROR(VLOOKUP($A212,'[4]SEGUIMIENTO CONTRATOS 2018'!$A:$AJ,11,0)," ")</f>
        <v>PRESTACION DE SERVICIOS PROFESIONALES</v>
      </c>
      <c r="W212" s="752">
        <f>+IFERROR(VLOOKUP($A212,'[4]SEGUIMIENTO CONTRATOS 2018'!$A:$AJ,13,0),0)</f>
        <v>59500000</v>
      </c>
      <c r="X212" s="698">
        <f>+IFERROR(VLOOKUP($A212,'[4]SEGUIMIENTO CONTRATOS 2018'!$A:$AJ,14,0),0)</f>
        <v>0</v>
      </c>
      <c r="Y212" s="752">
        <f>+IFERROR(VLOOKUP($A212,'[4]SEGUIMIENTO CONTRATOS 2018'!$A:$AJ,15,0),0)</f>
        <v>59500000</v>
      </c>
      <c r="Z212" s="752">
        <f>+IFERROR(VLOOKUP($A212,'[4]SEGUIMIENTO CONTRATOS 2018'!$A:$AJ,15,0),0)</f>
        <v>59500000</v>
      </c>
      <c r="AA212" s="698" t="str">
        <f>+IFERROR(VLOOKUP($A212,'[4]SEGUIMIENTO CONTRATOS 2018'!$A:$AJ,16,0)," ")</f>
        <v>Siete (7) mensualidades vencidas, cada una por valor de OCHO MILLONES QUINIENTOS MIL PESOS ($8’500.000) M/CTE.</v>
      </c>
      <c r="AB212" s="698" t="str">
        <f>+IFERROR(VLOOKUP($A212,'[4]SEGUIMIENTO CONTRATOS 2018'!$A:$AL,38,0)," ")</f>
        <v>15818</v>
      </c>
      <c r="AC212" s="698" t="str">
        <f>+IFERROR(VLOOKUP($A212,'[4]SEGUIMIENTO CONTRATOS 2018'!$A:$AJ,24,0)," ")</f>
        <v>Siete (07) meses, contado a partir del perfeccionamiento del mismo y registro presupuestal.</v>
      </c>
      <c r="AD212" s="751">
        <f>+IFERROR(VLOOKUP($A212,'[4]SEGUIMIENTO CONTRATOS 2018'!$A:$AJ,25,0)," ")</f>
        <v>43122</v>
      </c>
      <c r="AE212" s="751">
        <f>+IFERROR(VLOOKUP($A212,'[4]SEGUIMIENTO CONTRATOS 2018'!$A:$AJ,26,0)," ")</f>
        <v>43333</v>
      </c>
      <c r="AF212" s="698" t="str">
        <f>+IFERROR(VLOOKUP($A212,'[4]SEGUIMIENTO CONTRATOS 2018'!$A:$AJ,30,0)," ")</f>
        <v>ALEJANDRO BECKER ROJAS</v>
      </c>
      <c r="AG212" s="698" t="str">
        <f>+IFERROR(VLOOKUP($A212,'[4]SEGUIMIENTO CONTRATOS 2018'!$A:$AJ,31,0)," ")</f>
        <v xml:space="preserve">DIRECCION DE DESARROLLO ORGANIZACIONAL  </v>
      </c>
    </row>
    <row r="213" spans="1:33" ht="136.5" x14ac:dyDescent="0.25">
      <c r="A213" s="690">
        <f t="shared" si="6"/>
        <v>188</v>
      </c>
      <c r="B213" s="691" t="s">
        <v>523</v>
      </c>
      <c r="C213" s="692">
        <v>80101706</v>
      </c>
      <c r="D213" s="693" t="s">
        <v>524</v>
      </c>
      <c r="E213" s="691" t="s">
        <v>48</v>
      </c>
      <c r="F213" s="691">
        <v>1</v>
      </c>
      <c r="G213" s="694" t="s">
        <v>73</v>
      </c>
      <c r="H213" s="695">
        <v>7</v>
      </c>
      <c r="I213" s="691" t="s">
        <v>61</v>
      </c>
      <c r="J213" s="691" t="s">
        <v>66</v>
      </c>
      <c r="K213" s="691" t="s">
        <v>617</v>
      </c>
      <c r="L213" s="696">
        <v>59500000</v>
      </c>
      <c r="M213" s="697">
        <f t="shared" si="7"/>
        <v>59500000</v>
      </c>
      <c r="N213" s="691" t="s">
        <v>51</v>
      </c>
      <c r="O213" s="691" t="s">
        <v>36</v>
      </c>
      <c r="P213" s="691" t="s">
        <v>525</v>
      </c>
      <c r="Q213" s="80"/>
      <c r="R213" s="698" t="str">
        <f>+IFERROR(VLOOKUP($A213,'[4]SEGUIMIENTO CONTRATOS 2018'!$A:$AJ,2,0)," ")</f>
        <v>058-2018</v>
      </c>
      <c r="S213" s="698" t="str">
        <f>+IFERROR(VLOOKUP($A213,'[4]SEGUIMIENTO CONTRATOS 2018'!$A:$AJ,3,0)," ")</f>
        <v>HECTOR ARMANDO BARÓN RODRIGUEZ</v>
      </c>
      <c r="T213" s="751">
        <f>+IFERROR(VLOOKUP($A213,'[4]SEGUIMIENTO CONTRATOS 2018'!$A:$AJ,8,0)," ")</f>
        <v>43111</v>
      </c>
      <c r="U213" s="698" t="str">
        <f>+IFERROR(VLOOKUP($A213,'[4]SEGUIMIENTO CONTRATOS 2018'!$A:$AJ,9,0)," ")</f>
        <v>Prestar servicios profesionales a Función Pública para apoyar la implementación del Modelo Integrado de Planeación y Gestión (MIPG) en las entidades del orden territorial que le sean asignadas, en desarrollo de la tercera fase de la Estrategia de Gestión Territorial.</v>
      </c>
      <c r="V213" s="698" t="str">
        <f>+IFERROR(VLOOKUP($A213,'[4]SEGUIMIENTO CONTRATOS 2018'!$A:$AJ,11,0)," ")</f>
        <v>PRESTACION DE SERVICIOS PROFESIONALES</v>
      </c>
      <c r="W213" s="752">
        <f>+IFERROR(VLOOKUP($A213,'[4]SEGUIMIENTO CONTRATOS 2018'!$A:$AJ,13,0),0)</f>
        <v>59500000</v>
      </c>
      <c r="X213" s="698">
        <f>+IFERROR(VLOOKUP($A213,'[4]SEGUIMIENTO CONTRATOS 2018'!$A:$AJ,14,0),0)</f>
        <v>0</v>
      </c>
      <c r="Y213" s="752">
        <f>+IFERROR(VLOOKUP($A213,'[4]SEGUIMIENTO CONTRATOS 2018'!$A:$AJ,15,0),0)</f>
        <v>59500000</v>
      </c>
      <c r="Z213" s="752">
        <f>+IFERROR(VLOOKUP($A213,'[4]SEGUIMIENTO CONTRATOS 2018'!$A:$AJ,15,0),0)</f>
        <v>59500000</v>
      </c>
      <c r="AA213" s="698" t="str">
        <f>+IFERROR(VLOOKUP($A213,'[4]SEGUIMIENTO CONTRATOS 2018'!$A:$AJ,16,0)," ")</f>
        <v>Siete (7) mensualidades vencidas, cada una por valor de OCHO MILLONES QUINIENTOS MIL PESOS ($8’500.000) M/CTE.</v>
      </c>
      <c r="AB213" s="698" t="str">
        <f>+IFERROR(VLOOKUP($A213,'[4]SEGUIMIENTO CONTRATOS 2018'!$A:$AL,38,0)," ")</f>
        <v>15918</v>
      </c>
      <c r="AC213" s="698" t="str">
        <f>+IFERROR(VLOOKUP($A213,'[4]SEGUIMIENTO CONTRATOS 2018'!$A:$AJ,24,0)," ")</f>
        <v>Siete (07) meses, contado a partir del perfeccionamiento del mismo y registro presupuestal.</v>
      </c>
      <c r="AD213" s="751">
        <f>+IFERROR(VLOOKUP($A213,'[4]SEGUIMIENTO CONTRATOS 2018'!$A:$AJ,25,0)," ")</f>
        <v>43122</v>
      </c>
      <c r="AE213" s="751">
        <f>+IFERROR(VLOOKUP($A213,'[4]SEGUIMIENTO CONTRATOS 2018'!$A:$AJ,26,0)," ")</f>
        <v>43333</v>
      </c>
      <c r="AF213" s="698" t="str">
        <f>+IFERROR(VLOOKUP($A213,'[4]SEGUIMIENTO CONTRATOS 2018'!$A:$AJ,30,0)," ")</f>
        <v>ALEJANDRO BECKER ROJAS</v>
      </c>
      <c r="AG213" s="698" t="str">
        <f>+IFERROR(VLOOKUP($A213,'[4]SEGUIMIENTO CONTRATOS 2018'!$A:$AJ,31,0)," ")</f>
        <v xml:space="preserve">DIRECCION DE DESARROLLO ORGANIZACIONAL  </v>
      </c>
    </row>
    <row r="214" spans="1:33" ht="136.5" x14ac:dyDescent="0.25">
      <c r="A214" s="690">
        <f t="shared" si="6"/>
        <v>189</v>
      </c>
      <c r="B214" s="691" t="s">
        <v>523</v>
      </c>
      <c r="C214" s="692">
        <v>80101706</v>
      </c>
      <c r="D214" s="693" t="s">
        <v>524</v>
      </c>
      <c r="E214" s="691" t="s">
        <v>48</v>
      </c>
      <c r="F214" s="691">
        <v>1</v>
      </c>
      <c r="G214" s="694" t="s">
        <v>73</v>
      </c>
      <c r="H214" s="695">
        <v>7</v>
      </c>
      <c r="I214" s="691" t="s">
        <v>61</v>
      </c>
      <c r="J214" s="691" t="s">
        <v>66</v>
      </c>
      <c r="K214" s="691" t="s">
        <v>617</v>
      </c>
      <c r="L214" s="696">
        <v>59500000</v>
      </c>
      <c r="M214" s="697">
        <f t="shared" si="7"/>
        <v>59500000</v>
      </c>
      <c r="N214" s="691" t="s">
        <v>51</v>
      </c>
      <c r="O214" s="691" t="s">
        <v>36</v>
      </c>
      <c r="P214" s="691" t="s">
        <v>525</v>
      </c>
      <c r="Q214" s="80"/>
      <c r="R214" s="698" t="str">
        <f>+IFERROR(VLOOKUP($A214,'[4]SEGUIMIENTO CONTRATOS 2018'!$A:$AJ,2,0)," ")</f>
        <v>070-2018</v>
      </c>
      <c r="S214" s="698" t="str">
        <f>+IFERROR(VLOOKUP($A214,'[4]SEGUIMIENTO CONTRATOS 2018'!$A:$AJ,3,0)," ")</f>
        <v>GIOVANNA CONSUELO PARDO BERNAL</v>
      </c>
      <c r="T214" s="751">
        <f>+IFERROR(VLOOKUP($A214,'[4]SEGUIMIENTO CONTRATOS 2018'!$A:$AJ,8,0)," ")</f>
        <v>43115</v>
      </c>
      <c r="U214" s="698" t="str">
        <f>+IFERROR(VLOOKUP($A214,'[4]SEGUIMIENTO CONTRATOS 2018'!$A:$AJ,9,0)," ")</f>
        <v>Prestar servicios profesionales a Función Pública para apoyar la implementación del Modelo Integrado de Planeación y Gestión (MIPG) en las entidades del orden territorial que le sean asignadas, en desarrollo de la tercera fase de la Estrategia de Gestión Territorial.</v>
      </c>
      <c r="V214" s="698" t="str">
        <f>+IFERROR(VLOOKUP($A214,'[4]SEGUIMIENTO CONTRATOS 2018'!$A:$AJ,11,0)," ")</f>
        <v>PRESTACION DE SERVICIOS PROFESIONALES</v>
      </c>
      <c r="W214" s="752">
        <f>+IFERROR(VLOOKUP($A214,'[4]SEGUIMIENTO CONTRATOS 2018'!$A:$AJ,13,0),0)</f>
        <v>59500000</v>
      </c>
      <c r="X214" s="698">
        <f>+IFERROR(VLOOKUP($A214,'[4]SEGUIMIENTO CONTRATOS 2018'!$A:$AJ,14,0),0)</f>
        <v>0</v>
      </c>
      <c r="Y214" s="752">
        <f>+IFERROR(VLOOKUP($A214,'[4]SEGUIMIENTO CONTRATOS 2018'!$A:$AJ,15,0),0)</f>
        <v>59500000</v>
      </c>
      <c r="Z214" s="752">
        <f>+IFERROR(VLOOKUP($A214,'[4]SEGUIMIENTO CONTRATOS 2018'!$A:$AJ,15,0),0)</f>
        <v>59500000</v>
      </c>
      <c r="AA214" s="698" t="str">
        <f>+IFERROR(VLOOKUP($A214,'[4]SEGUIMIENTO CONTRATOS 2018'!$A:$AJ,16,0)," ")</f>
        <v>Siete (7) mensualidades vencidas, cada una por valor de OCHO MILLONES QUINIENTOS MIL PESOS ($8’500.000) M/CTE.</v>
      </c>
      <c r="AB214" s="698" t="str">
        <f>+IFERROR(VLOOKUP($A214,'[4]SEGUIMIENTO CONTRATOS 2018'!$A:$AL,38,0)," ")</f>
        <v>16018</v>
      </c>
      <c r="AC214" s="698" t="str">
        <f>+IFERROR(VLOOKUP($A214,'[4]SEGUIMIENTO CONTRATOS 2018'!$A:$AJ,24,0)," ")</f>
        <v>Siete (07) meses, contado a partir del perfeccionamiento del mismo y registro presupuestal.</v>
      </c>
      <c r="AD214" s="751">
        <f>+IFERROR(VLOOKUP($A214,'[4]SEGUIMIENTO CONTRATOS 2018'!$A:$AJ,25,0)," ")</f>
        <v>43122</v>
      </c>
      <c r="AE214" s="751">
        <f>+IFERROR(VLOOKUP($A214,'[4]SEGUIMIENTO CONTRATOS 2018'!$A:$AJ,26,0)," ")</f>
        <v>43333</v>
      </c>
      <c r="AF214" s="698" t="str">
        <f>+IFERROR(VLOOKUP($A214,'[4]SEGUIMIENTO CONTRATOS 2018'!$A:$AJ,30,0)," ")</f>
        <v>ALEJANDRO BECKER ROJAS</v>
      </c>
      <c r="AG214" s="698" t="str">
        <f>+IFERROR(VLOOKUP($A214,'[4]SEGUIMIENTO CONTRATOS 2018'!$A:$AJ,31,0)," ")</f>
        <v xml:space="preserve">DIRECCION DE DESARROLLO ORGANIZACIONAL  </v>
      </c>
    </row>
    <row r="215" spans="1:33" ht="136.5" x14ac:dyDescent="0.25">
      <c r="A215" s="690">
        <f t="shared" si="6"/>
        <v>190</v>
      </c>
      <c r="B215" s="691" t="s">
        <v>523</v>
      </c>
      <c r="C215" s="692">
        <v>80101706</v>
      </c>
      <c r="D215" s="693" t="s">
        <v>524</v>
      </c>
      <c r="E215" s="691" t="s">
        <v>48</v>
      </c>
      <c r="F215" s="691">
        <v>1</v>
      </c>
      <c r="G215" s="694" t="s">
        <v>73</v>
      </c>
      <c r="H215" s="695">
        <v>7</v>
      </c>
      <c r="I215" s="691" t="s">
        <v>61</v>
      </c>
      <c r="J215" s="691" t="s">
        <v>66</v>
      </c>
      <c r="K215" s="691" t="s">
        <v>617</v>
      </c>
      <c r="L215" s="696">
        <v>59500000</v>
      </c>
      <c r="M215" s="697">
        <f t="shared" si="7"/>
        <v>59500000</v>
      </c>
      <c r="N215" s="691" t="s">
        <v>51</v>
      </c>
      <c r="O215" s="691" t="s">
        <v>36</v>
      </c>
      <c r="P215" s="691" t="s">
        <v>525</v>
      </c>
      <c r="Q215" s="80"/>
      <c r="R215" s="698" t="str">
        <f>+IFERROR(VLOOKUP($A215,'[4]SEGUIMIENTO CONTRATOS 2018'!$A:$AJ,2,0)," ")</f>
        <v>074-2018</v>
      </c>
      <c r="S215" s="698" t="str">
        <f>+IFERROR(VLOOKUP($A215,'[4]SEGUIMIENTO CONTRATOS 2018'!$A:$AJ,3,0)," ")</f>
        <v>RODRIGO DAVID NOGUERA FAJARDO</v>
      </c>
      <c r="T215" s="751">
        <f>+IFERROR(VLOOKUP($A215,'[4]SEGUIMIENTO CONTRATOS 2018'!$A:$AJ,8,0)," ")</f>
        <v>43115</v>
      </c>
      <c r="U215" s="698" t="str">
        <f>+IFERROR(VLOOKUP($A215,'[4]SEGUIMIENTO CONTRATOS 2018'!$A:$AJ,9,0)," ")</f>
        <v>Prestar servicios profesionales a Función Pública para apoyar la implementación del Modelo Integrado de Planeación y Gestión (MIPG) en las entidades del orden territorial que le sean asignadas, en desarrollo de la tercera fase de la Estrategia de Gestión Territorial.</v>
      </c>
      <c r="V215" s="698" t="str">
        <f>+IFERROR(VLOOKUP($A215,'[4]SEGUIMIENTO CONTRATOS 2018'!$A:$AJ,11,0)," ")</f>
        <v>PRESTACION DE SERVICIOS PROFESIONALES</v>
      </c>
      <c r="W215" s="752">
        <f>+IFERROR(VLOOKUP($A215,'[4]SEGUIMIENTO CONTRATOS 2018'!$A:$AJ,13,0),0)</f>
        <v>59500000</v>
      </c>
      <c r="X215" s="698">
        <f>+IFERROR(VLOOKUP($A215,'[4]SEGUIMIENTO CONTRATOS 2018'!$A:$AJ,14,0),0)</f>
        <v>0</v>
      </c>
      <c r="Y215" s="752">
        <f>+IFERROR(VLOOKUP($A215,'[4]SEGUIMIENTO CONTRATOS 2018'!$A:$AJ,15,0),0)</f>
        <v>59500000</v>
      </c>
      <c r="Z215" s="752">
        <f>+IFERROR(VLOOKUP($A215,'[4]SEGUIMIENTO CONTRATOS 2018'!$A:$AJ,15,0),0)</f>
        <v>59500000</v>
      </c>
      <c r="AA215" s="698" t="str">
        <f>+IFERROR(VLOOKUP($A215,'[4]SEGUIMIENTO CONTRATOS 2018'!$A:$AJ,16,0)," ")</f>
        <v>Siete (7) mensualidades vencidas, cada una por valor de OCHO MILLONES QUINIENTOS MIL PESOS ($8’500.000) M/CTE.</v>
      </c>
      <c r="AB215" s="698" t="str">
        <f>+IFERROR(VLOOKUP($A215,'[4]SEGUIMIENTO CONTRATOS 2018'!$A:$AL,38,0)," ")</f>
        <v>16118</v>
      </c>
      <c r="AC215" s="698" t="str">
        <f>+IFERROR(VLOOKUP($A215,'[4]SEGUIMIENTO CONTRATOS 2018'!$A:$AJ,24,0)," ")</f>
        <v>Siete (07) meses, contado a partir del perfeccionamiento del mismo y registro presupuestal.</v>
      </c>
      <c r="AD215" s="751">
        <f>+IFERROR(VLOOKUP($A215,'[4]SEGUIMIENTO CONTRATOS 2018'!$A:$AJ,25,0)," ")</f>
        <v>43122</v>
      </c>
      <c r="AE215" s="751">
        <f>+IFERROR(VLOOKUP($A215,'[4]SEGUIMIENTO CONTRATOS 2018'!$A:$AJ,26,0)," ")</f>
        <v>43333</v>
      </c>
      <c r="AF215" s="698" t="str">
        <f>+IFERROR(VLOOKUP($A215,'[4]SEGUIMIENTO CONTRATOS 2018'!$A:$AJ,30,0)," ")</f>
        <v>ALEJANDRO BECKER ROJAS</v>
      </c>
      <c r="AG215" s="698" t="str">
        <f>+IFERROR(VLOOKUP($A215,'[4]SEGUIMIENTO CONTRATOS 2018'!$A:$AJ,31,0)," ")</f>
        <v xml:space="preserve">DIRECCION DE DESARROLLO ORGANIZACIONAL  </v>
      </c>
    </row>
    <row r="216" spans="1:33" ht="136.5" x14ac:dyDescent="0.25">
      <c r="A216" s="690">
        <f t="shared" si="6"/>
        <v>191</v>
      </c>
      <c r="B216" s="691" t="s">
        <v>523</v>
      </c>
      <c r="C216" s="692">
        <v>80101706</v>
      </c>
      <c r="D216" s="693" t="s">
        <v>524</v>
      </c>
      <c r="E216" s="691" t="s">
        <v>48</v>
      </c>
      <c r="F216" s="691">
        <v>1</v>
      </c>
      <c r="G216" s="694" t="s">
        <v>73</v>
      </c>
      <c r="H216" s="695">
        <v>7</v>
      </c>
      <c r="I216" s="691" t="s">
        <v>61</v>
      </c>
      <c r="J216" s="691" t="s">
        <v>66</v>
      </c>
      <c r="K216" s="691" t="s">
        <v>617</v>
      </c>
      <c r="L216" s="696">
        <v>59500000</v>
      </c>
      <c r="M216" s="697">
        <f t="shared" si="7"/>
        <v>59500000</v>
      </c>
      <c r="N216" s="691" t="s">
        <v>51</v>
      </c>
      <c r="O216" s="691" t="s">
        <v>36</v>
      </c>
      <c r="P216" s="691" t="s">
        <v>525</v>
      </c>
      <c r="Q216" s="80"/>
      <c r="R216" s="698" t="str">
        <f>+IFERROR(VLOOKUP($A216,'[4]SEGUIMIENTO CONTRATOS 2018'!$A:$AJ,2,0)," ")</f>
        <v>072-2018</v>
      </c>
      <c r="S216" s="698" t="str">
        <f>+IFERROR(VLOOKUP($A216,'[4]SEGUIMIENTO CONTRATOS 2018'!$A:$AJ,3,0)," ")</f>
        <v>YOVANNA ALEXANDRA CADAVID HERRERA</v>
      </c>
      <c r="T216" s="751">
        <f>+IFERROR(VLOOKUP($A216,'[4]SEGUIMIENTO CONTRATOS 2018'!$A:$AJ,8,0)," ")</f>
        <v>43115</v>
      </c>
      <c r="U216" s="698" t="str">
        <f>+IFERROR(VLOOKUP($A216,'[4]SEGUIMIENTO CONTRATOS 2018'!$A:$AJ,9,0)," ")</f>
        <v>Prestar servicios profesionales a Función Pública para apoyar la implementación del Modelo Integrado de Planeación y Gestión (MIPG) en las entidades del orden territorial que le sean asignadas, en desarrollo de la tercera fase de la Estrategia de Gestión Territorial.</v>
      </c>
      <c r="V216" s="698" t="str">
        <f>+IFERROR(VLOOKUP($A216,'[4]SEGUIMIENTO CONTRATOS 2018'!$A:$AJ,11,0)," ")</f>
        <v>PRESTACION DE SERVICIOS PROFESIONALES</v>
      </c>
      <c r="W216" s="752">
        <f>+IFERROR(VLOOKUP($A216,'[4]SEGUIMIENTO CONTRATOS 2018'!$A:$AJ,13,0),0)</f>
        <v>59500000</v>
      </c>
      <c r="X216" s="698">
        <f>+IFERROR(VLOOKUP($A216,'[4]SEGUIMIENTO CONTRATOS 2018'!$A:$AJ,14,0),0)</f>
        <v>0</v>
      </c>
      <c r="Y216" s="752">
        <f>+IFERROR(VLOOKUP($A216,'[4]SEGUIMIENTO CONTRATOS 2018'!$A:$AJ,15,0),0)</f>
        <v>59500000</v>
      </c>
      <c r="Z216" s="752">
        <f>+IFERROR(VLOOKUP($A216,'[4]SEGUIMIENTO CONTRATOS 2018'!$A:$AJ,15,0),0)</f>
        <v>59500000</v>
      </c>
      <c r="AA216" s="698" t="str">
        <f>+IFERROR(VLOOKUP($A216,'[4]SEGUIMIENTO CONTRATOS 2018'!$A:$AJ,16,0)," ")</f>
        <v>Siete (7) mensualidades vencidas, cada una por valor de OCHO MILLONES QUINIENTOS MIL PESOS ($8’500.000) M/CTE.</v>
      </c>
      <c r="AB216" s="698" t="str">
        <f>+IFERROR(VLOOKUP($A216,'[4]SEGUIMIENTO CONTRATOS 2018'!$A:$AL,38,0)," ")</f>
        <v>16218</v>
      </c>
      <c r="AC216" s="698" t="str">
        <f>+IFERROR(VLOOKUP($A216,'[4]SEGUIMIENTO CONTRATOS 2018'!$A:$AJ,24,0)," ")</f>
        <v>Siete (07) meses, contado a partir del perfeccionamiento del mismo y registro presupuestal.</v>
      </c>
      <c r="AD216" s="751">
        <f>+IFERROR(VLOOKUP($A216,'[4]SEGUIMIENTO CONTRATOS 2018'!$A:$AJ,25,0)," ")</f>
        <v>43122</v>
      </c>
      <c r="AE216" s="751">
        <f>+IFERROR(VLOOKUP($A216,'[4]SEGUIMIENTO CONTRATOS 2018'!$A:$AJ,26,0)," ")</f>
        <v>43333</v>
      </c>
      <c r="AF216" s="698" t="str">
        <f>+IFERROR(VLOOKUP($A216,'[4]SEGUIMIENTO CONTRATOS 2018'!$A:$AJ,30,0)," ")</f>
        <v>ALEJANDRO BECKER ROJAS</v>
      </c>
      <c r="AG216" s="698" t="str">
        <f>+IFERROR(VLOOKUP($A216,'[4]SEGUIMIENTO CONTRATOS 2018'!$A:$AJ,31,0)," ")</f>
        <v xml:space="preserve">DIRECCION DE DESARROLLO ORGANIZACIONAL  </v>
      </c>
    </row>
    <row r="217" spans="1:33" ht="136.5" x14ac:dyDescent="0.25">
      <c r="A217" s="690">
        <f t="shared" si="6"/>
        <v>192</v>
      </c>
      <c r="B217" s="691" t="s">
        <v>523</v>
      </c>
      <c r="C217" s="692">
        <v>80101706</v>
      </c>
      <c r="D217" s="693" t="s">
        <v>524</v>
      </c>
      <c r="E217" s="691" t="s">
        <v>48</v>
      </c>
      <c r="F217" s="691">
        <v>1</v>
      </c>
      <c r="G217" s="694" t="s">
        <v>73</v>
      </c>
      <c r="H217" s="695">
        <v>7</v>
      </c>
      <c r="I217" s="691" t="s">
        <v>61</v>
      </c>
      <c r="J217" s="691" t="s">
        <v>66</v>
      </c>
      <c r="K217" s="691" t="s">
        <v>617</v>
      </c>
      <c r="L217" s="696">
        <v>59500000</v>
      </c>
      <c r="M217" s="697">
        <f t="shared" si="7"/>
        <v>59500000</v>
      </c>
      <c r="N217" s="691" t="s">
        <v>51</v>
      </c>
      <c r="O217" s="691" t="s">
        <v>36</v>
      </c>
      <c r="P217" s="691" t="s">
        <v>525</v>
      </c>
      <c r="Q217" s="80"/>
      <c r="R217" s="698" t="str">
        <f>+IFERROR(VLOOKUP($A217,'[4]SEGUIMIENTO CONTRATOS 2018'!$A:$AJ,2,0)," ")</f>
        <v>071-2018</v>
      </c>
      <c r="S217" s="698" t="str">
        <f>+IFERROR(VLOOKUP($A217,'[4]SEGUIMIENTO CONTRATOS 2018'!$A:$AJ,3,0)," ")</f>
        <v>EDIT YOHANA PALACIO ESPINOSA</v>
      </c>
      <c r="T217" s="751">
        <f>+IFERROR(VLOOKUP($A217,'[4]SEGUIMIENTO CONTRATOS 2018'!$A:$AJ,8,0)," ")</f>
        <v>43115</v>
      </c>
      <c r="U217" s="698" t="str">
        <f>+IFERROR(VLOOKUP($A217,'[4]SEGUIMIENTO CONTRATOS 2018'!$A:$AJ,9,0)," ")</f>
        <v>Prestar servicios profesionales a Función Pública para apoyar la implementación del Modelo Integrado de Planeación y Gestión (MIPG) en las entidades del orden territorial que le sean asignadas, en desarrollo de la tercera fase de la Estrategia de Gestión Territorial.</v>
      </c>
      <c r="V217" s="698" t="str">
        <f>+IFERROR(VLOOKUP($A217,'[4]SEGUIMIENTO CONTRATOS 2018'!$A:$AJ,11,0)," ")</f>
        <v>PRESTACION DE SERVICIOS PROFESIONALES</v>
      </c>
      <c r="W217" s="752">
        <f>+IFERROR(VLOOKUP($A217,'[4]SEGUIMIENTO CONTRATOS 2018'!$A:$AJ,13,0),0)</f>
        <v>59500000</v>
      </c>
      <c r="X217" s="698">
        <f>+IFERROR(VLOOKUP($A217,'[4]SEGUIMIENTO CONTRATOS 2018'!$A:$AJ,14,0),0)</f>
        <v>0</v>
      </c>
      <c r="Y217" s="752">
        <f>+IFERROR(VLOOKUP($A217,'[4]SEGUIMIENTO CONTRATOS 2018'!$A:$AJ,15,0),0)</f>
        <v>59500000</v>
      </c>
      <c r="Z217" s="752">
        <f>+IFERROR(VLOOKUP($A217,'[4]SEGUIMIENTO CONTRATOS 2018'!$A:$AJ,15,0),0)</f>
        <v>59500000</v>
      </c>
      <c r="AA217" s="698" t="str">
        <f>+IFERROR(VLOOKUP($A217,'[4]SEGUIMIENTO CONTRATOS 2018'!$A:$AJ,16,0)," ")</f>
        <v>Siete (7) mensualidades vencidas, cada una por valor de OCHO MILLONES QUINIENTOS MIL PESOS ($8’500.000) M/CTE.</v>
      </c>
      <c r="AB217" s="698" t="str">
        <f>+IFERROR(VLOOKUP($A217,'[4]SEGUIMIENTO CONTRATOS 2018'!$A:$AL,38,0)," ")</f>
        <v>16318</v>
      </c>
      <c r="AC217" s="698" t="str">
        <f>+IFERROR(VLOOKUP($A217,'[4]SEGUIMIENTO CONTRATOS 2018'!$A:$AJ,24,0)," ")</f>
        <v>Siete (07) meses, contado a partir del perfeccionamiento del mismo y registro presupuestal.</v>
      </c>
      <c r="AD217" s="751">
        <f>+IFERROR(VLOOKUP($A217,'[4]SEGUIMIENTO CONTRATOS 2018'!$A:$AJ,25,0)," ")</f>
        <v>43122</v>
      </c>
      <c r="AE217" s="751">
        <f>+IFERROR(VLOOKUP($A217,'[4]SEGUIMIENTO CONTRATOS 2018'!$A:$AJ,26,0)," ")</f>
        <v>43333</v>
      </c>
      <c r="AF217" s="698" t="str">
        <f>+IFERROR(VLOOKUP($A217,'[4]SEGUIMIENTO CONTRATOS 2018'!$A:$AJ,30,0)," ")</f>
        <v>ALEJANDRO BECKER ROJAS</v>
      </c>
      <c r="AG217" s="698" t="str">
        <f>+IFERROR(VLOOKUP($A217,'[4]SEGUIMIENTO CONTRATOS 2018'!$A:$AJ,31,0)," ")</f>
        <v xml:space="preserve">DIRECCION DE DESARROLLO ORGANIZACIONAL  </v>
      </c>
    </row>
    <row r="218" spans="1:33" ht="136.5" x14ac:dyDescent="0.25">
      <c r="A218" s="690">
        <f t="shared" ref="A218:A244" si="8">SUM(A217+1)</f>
        <v>193</v>
      </c>
      <c r="B218" s="691" t="s">
        <v>523</v>
      </c>
      <c r="C218" s="692">
        <v>80101706</v>
      </c>
      <c r="D218" s="693" t="s">
        <v>524</v>
      </c>
      <c r="E218" s="691" t="s">
        <v>48</v>
      </c>
      <c r="F218" s="691">
        <v>1</v>
      </c>
      <c r="G218" s="694" t="s">
        <v>73</v>
      </c>
      <c r="H218" s="695">
        <v>7</v>
      </c>
      <c r="I218" s="691" t="s">
        <v>61</v>
      </c>
      <c r="J218" s="691" t="s">
        <v>66</v>
      </c>
      <c r="K218" s="691" t="s">
        <v>617</v>
      </c>
      <c r="L218" s="696">
        <v>59500000</v>
      </c>
      <c r="M218" s="697">
        <f t="shared" si="7"/>
        <v>59500000</v>
      </c>
      <c r="N218" s="691" t="s">
        <v>51</v>
      </c>
      <c r="O218" s="691" t="s">
        <v>36</v>
      </c>
      <c r="P218" s="691" t="s">
        <v>525</v>
      </c>
      <c r="Q218" s="80"/>
      <c r="R218" s="698" t="str">
        <f>+IFERROR(VLOOKUP($A218,'[4]SEGUIMIENTO CONTRATOS 2018'!$A:$AJ,2,0)," ")</f>
        <v>069-2018</v>
      </c>
      <c r="S218" s="698" t="str">
        <f>+IFERROR(VLOOKUP($A218,'[4]SEGUIMIENTO CONTRATOS 2018'!$A:$AJ,3,0)," ")</f>
        <v>GLADYS RAMIREZ PEÑA</v>
      </c>
      <c r="T218" s="751">
        <f>+IFERROR(VLOOKUP($A218,'[4]SEGUIMIENTO CONTRATOS 2018'!$A:$AJ,8,0)," ")</f>
        <v>43115</v>
      </c>
      <c r="U218" s="698" t="str">
        <f>+IFERROR(VLOOKUP($A218,'[4]SEGUIMIENTO CONTRATOS 2018'!$A:$AJ,9,0)," ")</f>
        <v>Prestar servicios profesionales a Función Pública para apoyar la implementación del Modelo Integrado de Planeación y Gestión (MIPG) en las entidades del orden territorial que le sean asignadas, en desarrollo de la tercera fase de la Estrategia de Gestión Territorial.</v>
      </c>
      <c r="V218" s="698" t="str">
        <f>+IFERROR(VLOOKUP($A218,'[4]SEGUIMIENTO CONTRATOS 2018'!$A:$AJ,11,0)," ")</f>
        <v>PRESTACION DE SERVICIOS PROFESIONALES</v>
      </c>
      <c r="W218" s="752">
        <f>+IFERROR(VLOOKUP($A218,'[4]SEGUIMIENTO CONTRATOS 2018'!$A:$AJ,13,0),0)</f>
        <v>59500000</v>
      </c>
      <c r="X218" s="698">
        <f>+IFERROR(VLOOKUP($A218,'[4]SEGUIMIENTO CONTRATOS 2018'!$A:$AJ,14,0),0)</f>
        <v>0</v>
      </c>
      <c r="Y218" s="752">
        <f>+IFERROR(VLOOKUP($A218,'[4]SEGUIMIENTO CONTRATOS 2018'!$A:$AJ,15,0),0)</f>
        <v>59500000</v>
      </c>
      <c r="Z218" s="752">
        <f>+IFERROR(VLOOKUP($A218,'[4]SEGUIMIENTO CONTRATOS 2018'!$A:$AJ,15,0),0)</f>
        <v>59500000</v>
      </c>
      <c r="AA218" s="698" t="str">
        <f>+IFERROR(VLOOKUP($A218,'[4]SEGUIMIENTO CONTRATOS 2018'!$A:$AJ,16,0)," ")</f>
        <v>Siete (7) mensualidades vencidas, cada una por valor de OCHO MILLONES QUINIENTOS MIL PESOS ($8’500.000) M/CTE.</v>
      </c>
      <c r="AB218" s="698" t="str">
        <f>+IFERROR(VLOOKUP($A218,'[4]SEGUIMIENTO CONTRATOS 2018'!$A:$AL,38,0)," ")</f>
        <v>16418</v>
      </c>
      <c r="AC218" s="698" t="str">
        <f>+IFERROR(VLOOKUP($A218,'[4]SEGUIMIENTO CONTRATOS 2018'!$A:$AJ,24,0)," ")</f>
        <v>Siete (07) meses, contado a partir del perfeccionamiento del mismo y registro presupuestal.</v>
      </c>
      <c r="AD218" s="751">
        <f>+IFERROR(VLOOKUP($A218,'[4]SEGUIMIENTO CONTRATOS 2018'!$A:$AJ,25,0)," ")</f>
        <v>43122</v>
      </c>
      <c r="AE218" s="751">
        <f>+IFERROR(VLOOKUP($A218,'[4]SEGUIMIENTO CONTRATOS 2018'!$A:$AJ,26,0)," ")</f>
        <v>43333</v>
      </c>
      <c r="AF218" s="698" t="str">
        <f>+IFERROR(VLOOKUP($A218,'[4]SEGUIMIENTO CONTRATOS 2018'!$A:$AJ,30,0)," ")</f>
        <v>ALEJANDRO BECKER ROJAS</v>
      </c>
      <c r="AG218" s="698" t="str">
        <f>+IFERROR(VLOOKUP($A218,'[4]SEGUIMIENTO CONTRATOS 2018'!$A:$AJ,31,0)," ")</f>
        <v xml:space="preserve">DIRECCION DE DESARROLLO ORGANIZACIONAL  </v>
      </c>
    </row>
    <row r="219" spans="1:33" ht="136.5" x14ac:dyDescent="0.25">
      <c r="A219" s="690">
        <f t="shared" si="8"/>
        <v>194</v>
      </c>
      <c r="B219" s="691" t="s">
        <v>523</v>
      </c>
      <c r="C219" s="692">
        <v>80101706</v>
      </c>
      <c r="D219" s="693" t="s">
        <v>524</v>
      </c>
      <c r="E219" s="691" t="s">
        <v>48</v>
      </c>
      <c r="F219" s="691">
        <v>1</v>
      </c>
      <c r="G219" s="694" t="s">
        <v>73</v>
      </c>
      <c r="H219" s="695">
        <v>7</v>
      </c>
      <c r="I219" s="691" t="s">
        <v>61</v>
      </c>
      <c r="J219" s="691" t="s">
        <v>66</v>
      </c>
      <c r="K219" s="691" t="s">
        <v>617</v>
      </c>
      <c r="L219" s="696">
        <v>59500000</v>
      </c>
      <c r="M219" s="697">
        <f t="shared" si="7"/>
        <v>59500000</v>
      </c>
      <c r="N219" s="691" t="s">
        <v>51</v>
      </c>
      <c r="O219" s="691" t="s">
        <v>36</v>
      </c>
      <c r="P219" s="691" t="s">
        <v>525</v>
      </c>
      <c r="Q219" s="80"/>
      <c r="R219" s="698" t="str">
        <f>+IFERROR(VLOOKUP($A219,'[4]SEGUIMIENTO CONTRATOS 2018'!$A:$AJ,2,0)," ")</f>
        <v>057-2018</v>
      </c>
      <c r="S219" s="698" t="str">
        <f>+IFERROR(VLOOKUP($A219,'[4]SEGUIMIENTO CONTRATOS 2018'!$A:$AJ,3,0)," ")</f>
        <v>MAURICIO ENRIQUE RAMIREZ ALVAREZ</v>
      </c>
      <c r="T219" s="751">
        <f>+IFERROR(VLOOKUP($A219,'[4]SEGUIMIENTO CONTRATOS 2018'!$A:$AJ,8,0)," ")</f>
        <v>43111</v>
      </c>
      <c r="U219" s="698" t="str">
        <f>+IFERROR(VLOOKUP($A219,'[4]SEGUIMIENTO CONTRATOS 2018'!$A:$AJ,9,0)," ")</f>
        <v>Prestar servicios profesionales a Función Pública para apoyar la implementación del Modelo Integrado de Planeación y Gestión (MIPG) en las entidades del orden territorial que le sean asignadas, en desarrollo de la tercera fase de la Estrategia de Gestión Territorial.</v>
      </c>
      <c r="V219" s="698" t="str">
        <f>+IFERROR(VLOOKUP($A219,'[4]SEGUIMIENTO CONTRATOS 2018'!$A:$AJ,11,0)," ")</f>
        <v>PRESTACION DE SERVICIOS PROFESIONALES</v>
      </c>
      <c r="W219" s="752">
        <f>+IFERROR(VLOOKUP($A219,'[4]SEGUIMIENTO CONTRATOS 2018'!$A:$AJ,13,0),0)</f>
        <v>59500000</v>
      </c>
      <c r="X219" s="698">
        <f>+IFERROR(VLOOKUP($A219,'[4]SEGUIMIENTO CONTRATOS 2018'!$A:$AJ,14,0),0)</f>
        <v>0</v>
      </c>
      <c r="Y219" s="752">
        <f>+IFERROR(VLOOKUP($A219,'[4]SEGUIMIENTO CONTRATOS 2018'!$A:$AJ,15,0),0)</f>
        <v>59500000</v>
      </c>
      <c r="Z219" s="752">
        <f>+IFERROR(VLOOKUP($A219,'[4]SEGUIMIENTO CONTRATOS 2018'!$A:$AJ,15,0),0)</f>
        <v>59500000</v>
      </c>
      <c r="AA219" s="698" t="str">
        <f>+IFERROR(VLOOKUP($A219,'[4]SEGUIMIENTO CONTRATOS 2018'!$A:$AJ,16,0)," ")</f>
        <v>Siete (7) mensualidades vencidas, cada una por valor de OCHO MILLONES QUINIENTOS MIL PESOS ($8’500.000) M/CTE.</v>
      </c>
      <c r="AB219" s="698" t="str">
        <f>+IFERROR(VLOOKUP($A219,'[4]SEGUIMIENTO CONTRATOS 2018'!$A:$AL,38,0)," ")</f>
        <v>16518</v>
      </c>
      <c r="AC219" s="698" t="str">
        <f>+IFERROR(VLOOKUP($A219,'[4]SEGUIMIENTO CONTRATOS 2018'!$A:$AJ,24,0)," ")</f>
        <v>Siete (07) meses, contado a partir del perfeccionamiento del mismo y registro presupuestal.</v>
      </c>
      <c r="AD219" s="751">
        <f>+IFERROR(VLOOKUP($A219,'[4]SEGUIMIENTO CONTRATOS 2018'!$A:$AJ,25,0)," ")</f>
        <v>43122</v>
      </c>
      <c r="AE219" s="751">
        <f>+IFERROR(VLOOKUP($A219,'[4]SEGUIMIENTO CONTRATOS 2018'!$A:$AJ,26,0)," ")</f>
        <v>43333</v>
      </c>
      <c r="AF219" s="698" t="str">
        <f>+IFERROR(VLOOKUP($A219,'[4]SEGUIMIENTO CONTRATOS 2018'!$A:$AJ,30,0)," ")</f>
        <v>ALEJANDRO BECKER ROJAS</v>
      </c>
      <c r="AG219" s="698" t="str">
        <f>+IFERROR(VLOOKUP($A219,'[4]SEGUIMIENTO CONTRATOS 2018'!$A:$AJ,31,0)," ")</f>
        <v xml:space="preserve">DIRECCION DE DESARROLLO ORGANIZACIONAL  </v>
      </c>
    </row>
    <row r="220" spans="1:33" ht="136.5" x14ac:dyDescent="0.25">
      <c r="A220" s="690">
        <f t="shared" si="8"/>
        <v>195</v>
      </c>
      <c r="B220" s="691" t="s">
        <v>523</v>
      </c>
      <c r="C220" s="692">
        <v>80101706</v>
      </c>
      <c r="D220" s="693" t="s">
        <v>524</v>
      </c>
      <c r="E220" s="691" t="s">
        <v>48</v>
      </c>
      <c r="F220" s="691">
        <v>1</v>
      </c>
      <c r="G220" s="694" t="s">
        <v>73</v>
      </c>
      <c r="H220" s="695">
        <v>7</v>
      </c>
      <c r="I220" s="691" t="s">
        <v>61</v>
      </c>
      <c r="J220" s="691" t="s">
        <v>66</v>
      </c>
      <c r="K220" s="691" t="s">
        <v>617</v>
      </c>
      <c r="L220" s="696">
        <v>59500000</v>
      </c>
      <c r="M220" s="697">
        <f t="shared" si="7"/>
        <v>59500000</v>
      </c>
      <c r="N220" s="691" t="s">
        <v>51</v>
      </c>
      <c r="O220" s="691" t="s">
        <v>36</v>
      </c>
      <c r="P220" s="691" t="s">
        <v>525</v>
      </c>
      <c r="Q220" s="80"/>
      <c r="R220" s="698" t="str">
        <f>+IFERROR(VLOOKUP($A220,'[4]SEGUIMIENTO CONTRATOS 2018'!$A:$AJ,2,0)," ")</f>
        <v>101-2018</v>
      </c>
      <c r="S220" s="698" t="str">
        <f>+IFERROR(VLOOKUP($A220,'[4]SEGUIMIENTO CONTRATOS 2018'!$A:$AJ,3,0)," ")</f>
        <v>ALICIA BUSTACARA ROMERO</v>
      </c>
      <c r="T220" s="751">
        <f>+IFERROR(VLOOKUP($A220,'[4]SEGUIMIENTO CONTRATOS 2018'!$A:$AJ,8,0)," ")</f>
        <v>43117</v>
      </c>
      <c r="U220" s="698" t="str">
        <f>+IFERROR(VLOOKUP($A220,'[4]SEGUIMIENTO CONTRATOS 2018'!$A:$AJ,9,0)," ")</f>
        <v>Prestar servicios profesionales a Función Pública para apoyar la implementación del Modelo Integrado de Planeación y Gestión (MIPG) en las entidades del orden territorial que le sean asignadas, en desarrollo de la tercera fase de la Estrategia de Gestión Territorial.</v>
      </c>
      <c r="V220" s="698" t="str">
        <f>+IFERROR(VLOOKUP($A220,'[4]SEGUIMIENTO CONTRATOS 2018'!$A:$AJ,11,0)," ")</f>
        <v>PRESTACION DE SERVICIOS PROFESIONALES</v>
      </c>
      <c r="W220" s="752">
        <f>+IFERROR(VLOOKUP($A220,'[4]SEGUIMIENTO CONTRATOS 2018'!$A:$AJ,13,0),0)</f>
        <v>59500000</v>
      </c>
      <c r="X220" s="698">
        <f>+IFERROR(VLOOKUP($A220,'[4]SEGUIMIENTO CONTRATOS 2018'!$A:$AJ,14,0),0)</f>
        <v>0</v>
      </c>
      <c r="Y220" s="752">
        <f>+IFERROR(VLOOKUP($A220,'[4]SEGUIMIENTO CONTRATOS 2018'!$A:$AJ,15,0),0)</f>
        <v>59500000</v>
      </c>
      <c r="Z220" s="752">
        <f>+IFERROR(VLOOKUP($A220,'[4]SEGUIMIENTO CONTRATOS 2018'!$A:$AJ,15,0),0)</f>
        <v>59500000</v>
      </c>
      <c r="AA220" s="698" t="str">
        <f>+IFERROR(VLOOKUP($A220,'[4]SEGUIMIENTO CONTRATOS 2018'!$A:$AJ,16,0)," ")</f>
        <v>Siete (7) mensualidades vencidas, cada una por valor de OCHO MILLONES QUINIENTOS MIL PESOS ($8’500.000) M/CTE.</v>
      </c>
      <c r="AB220" s="698" t="str">
        <f>+IFERROR(VLOOKUP($A220,'[4]SEGUIMIENTO CONTRATOS 2018'!$A:$AL,38,0)," ")</f>
        <v>16618</v>
      </c>
      <c r="AC220" s="698" t="str">
        <f>+IFERROR(VLOOKUP($A220,'[4]SEGUIMIENTO CONTRATOS 2018'!$A:$AJ,24,0)," ")</f>
        <v>Ocho (8) meses, contado a partir del perfeccionamiento del mismo y registro presupuestal.</v>
      </c>
      <c r="AD220" s="751">
        <f>+IFERROR(VLOOKUP($A220,'[4]SEGUIMIENTO CONTRATOS 2018'!$A:$AJ,25,0)," ")</f>
        <v>43122</v>
      </c>
      <c r="AE220" s="751">
        <f>+IFERROR(VLOOKUP($A220,'[4]SEGUIMIENTO CONTRATOS 2018'!$A:$AJ,26,0)," ")</f>
        <v>43364</v>
      </c>
      <c r="AF220" s="698" t="str">
        <f>+IFERROR(VLOOKUP($A220,'[4]SEGUIMIENTO CONTRATOS 2018'!$A:$AJ,30,0)," ")</f>
        <v xml:space="preserve">ALEJANDRO BECKER ROJAS </v>
      </c>
      <c r="AG220" s="698" t="str">
        <f>+IFERROR(VLOOKUP($A220,'[4]SEGUIMIENTO CONTRATOS 2018'!$A:$AJ,31,0)," ")</f>
        <v xml:space="preserve">DIRECCION DE DESARROLLO ORGANIZACIONAL  </v>
      </c>
    </row>
    <row r="221" spans="1:33" ht="136.5" x14ac:dyDescent="0.25">
      <c r="A221" s="690">
        <f t="shared" si="8"/>
        <v>196</v>
      </c>
      <c r="B221" s="691" t="s">
        <v>523</v>
      </c>
      <c r="C221" s="692">
        <v>80101706</v>
      </c>
      <c r="D221" s="693" t="s">
        <v>524</v>
      </c>
      <c r="E221" s="691" t="s">
        <v>48</v>
      </c>
      <c r="F221" s="691">
        <v>1</v>
      </c>
      <c r="G221" s="694" t="s">
        <v>73</v>
      </c>
      <c r="H221" s="695">
        <v>7</v>
      </c>
      <c r="I221" s="691" t="s">
        <v>61</v>
      </c>
      <c r="J221" s="691" t="s">
        <v>66</v>
      </c>
      <c r="K221" s="691" t="s">
        <v>617</v>
      </c>
      <c r="L221" s="696">
        <v>59500000</v>
      </c>
      <c r="M221" s="697">
        <f t="shared" si="7"/>
        <v>59500000</v>
      </c>
      <c r="N221" s="691" t="s">
        <v>51</v>
      </c>
      <c r="O221" s="691" t="s">
        <v>36</v>
      </c>
      <c r="P221" s="691" t="s">
        <v>525</v>
      </c>
      <c r="Q221" s="80"/>
      <c r="R221" s="698" t="str">
        <f>+IFERROR(VLOOKUP($A221,'[4]SEGUIMIENTO CONTRATOS 2018'!$A:$AJ,2,0)," ")</f>
        <v>055-2018</v>
      </c>
      <c r="S221" s="698" t="str">
        <f>+IFERROR(VLOOKUP($A221,'[4]SEGUIMIENTO CONTRATOS 2018'!$A:$AJ,3,0)," ")</f>
        <v xml:space="preserve">IVAN CARLOS RAFAEL BOBADILLA DAZA                         </v>
      </c>
      <c r="T221" s="751">
        <f>+IFERROR(VLOOKUP($A221,'[4]SEGUIMIENTO CONTRATOS 2018'!$A:$AJ,8,0)," ")</f>
        <v>43111</v>
      </c>
      <c r="U221" s="698" t="str">
        <f>+IFERROR(VLOOKUP($A221,'[4]SEGUIMIENTO CONTRATOS 2018'!$A:$AJ,9,0)," ")</f>
        <v>Prestar servicios profesionales a Función Pública para apoyar la implementación del Modelo Integrado de Planeación y Gestión (MIPG) en las entidades del orden territorial que le sean asignadas, en desarrollo de la tercera fase de la Estrategia de Gestión Territorial.</v>
      </c>
      <c r="V221" s="698" t="str">
        <f>+IFERROR(VLOOKUP($A221,'[4]SEGUIMIENTO CONTRATOS 2018'!$A:$AJ,11,0)," ")</f>
        <v>PRESTACION DE SERVICIOS PROFESIONALES</v>
      </c>
      <c r="W221" s="752">
        <f>+IFERROR(VLOOKUP($A221,'[4]SEGUIMIENTO CONTRATOS 2018'!$A:$AJ,13,0),0)</f>
        <v>59500000</v>
      </c>
      <c r="X221" s="698">
        <f>+IFERROR(VLOOKUP($A221,'[4]SEGUIMIENTO CONTRATOS 2018'!$A:$AJ,14,0),0)</f>
        <v>0</v>
      </c>
      <c r="Y221" s="752">
        <f>+IFERROR(VLOOKUP($A221,'[4]SEGUIMIENTO CONTRATOS 2018'!$A:$AJ,15,0),0)</f>
        <v>59500000</v>
      </c>
      <c r="Z221" s="752">
        <f>+IFERROR(VLOOKUP($A221,'[4]SEGUIMIENTO CONTRATOS 2018'!$A:$AJ,15,0),0)</f>
        <v>59500000</v>
      </c>
      <c r="AA221" s="698" t="str">
        <f>+IFERROR(VLOOKUP($A221,'[4]SEGUIMIENTO CONTRATOS 2018'!$A:$AJ,16,0)," ")</f>
        <v>Siete (7) mensualidades vencidas, cada una por valor de OCHO MILLONES QUINIENTOS MIL PESOS ($8’500.000) M/CTE.</v>
      </c>
      <c r="AB221" s="698" t="str">
        <f>+IFERROR(VLOOKUP($A221,'[4]SEGUIMIENTO CONTRATOS 2018'!$A:$AL,38,0)," ")</f>
        <v>16718</v>
      </c>
      <c r="AC221" s="698" t="str">
        <f>+IFERROR(VLOOKUP($A221,'[4]SEGUIMIENTO CONTRATOS 2018'!$A:$AJ,24,0)," ")</f>
        <v>Siete (07) meses, contado a partir del perfeccionamiento del mismo y registro presupuestal.</v>
      </c>
      <c r="AD221" s="751">
        <f>+IFERROR(VLOOKUP($A221,'[4]SEGUIMIENTO CONTRATOS 2018'!$A:$AJ,25,0)," ")</f>
        <v>43122</v>
      </c>
      <c r="AE221" s="751">
        <f>+IFERROR(VLOOKUP($A221,'[4]SEGUIMIENTO CONTRATOS 2018'!$A:$AJ,26,0)," ")</f>
        <v>43333</v>
      </c>
      <c r="AF221" s="698" t="str">
        <f>+IFERROR(VLOOKUP($A221,'[4]SEGUIMIENTO CONTRATOS 2018'!$A:$AJ,30,0)," ")</f>
        <v>ALEJANDRO BECKER ROJAS</v>
      </c>
      <c r="AG221" s="698" t="str">
        <f>+IFERROR(VLOOKUP($A221,'[4]SEGUIMIENTO CONTRATOS 2018'!$A:$AJ,31,0)," ")</f>
        <v xml:space="preserve">DIRECCION DE DESARROLLO ORGANIZACIONAL  </v>
      </c>
    </row>
    <row r="222" spans="1:33" ht="156" x14ac:dyDescent="0.25">
      <c r="A222" s="690">
        <f t="shared" si="8"/>
        <v>197</v>
      </c>
      <c r="B222" s="691" t="s">
        <v>523</v>
      </c>
      <c r="C222" s="692">
        <v>80101706</v>
      </c>
      <c r="D222" s="693" t="s">
        <v>524</v>
      </c>
      <c r="E222" s="691" t="s">
        <v>48</v>
      </c>
      <c r="F222" s="691">
        <v>1</v>
      </c>
      <c r="G222" s="694" t="s">
        <v>73</v>
      </c>
      <c r="H222" s="695">
        <v>8</v>
      </c>
      <c r="I222" s="691" t="s">
        <v>61</v>
      </c>
      <c r="J222" s="691" t="s">
        <v>66</v>
      </c>
      <c r="K222" s="691" t="s">
        <v>617</v>
      </c>
      <c r="L222" s="696">
        <v>68000000</v>
      </c>
      <c r="M222" s="697">
        <f t="shared" si="7"/>
        <v>68000000</v>
      </c>
      <c r="N222" s="691" t="s">
        <v>51</v>
      </c>
      <c r="O222" s="691" t="s">
        <v>36</v>
      </c>
      <c r="P222" s="691" t="s">
        <v>525</v>
      </c>
      <c r="Q222" s="80"/>
      <c r="R222" s="698" t="str">
        <f>+IFERROR(VLOOKUP($A222,'[4]SEGUIMIENTO CONTRATOS 2018'!$A:$AJ,2,0)," ")</f>
        <v>094-2018</v>
      </c>
      <c r="S222" s="698" t="str">
        <f>+IFERROR(VLOOKUP($A222,'[4]SEGUIMIENTO CONTRATOS 2018'!$A:$AJ,3,0)," ")</f>
        <v>ESTHER SOFIA HENAO LOPEZ</v>
      </c>
      <c r="T222" s="751">
        <f>+IFERROR(VLOOKUP($A222,'[4]SEGUIMIENTO CONTRATOS 2018'!$A:$AJ,8,0)," ")</f>
        <v>43116</v>
      </c>
      <c r="U222" s="698" t="str">
        <f>+IFERROR(VLOOKUP($A222,'[4]SEGUIMIENTO CONTRATOS 2018'!$A:$AJ,9,0)," ")</f>
        <v>Prestar servicios profesionales a Función Pública para apoyar en la articulación y gestión de las actividades requeridas, en la implementación del Modelo Integrado de Planeación y Gestión (MIPG), en las entidades públicas del orden territorial, en desarrollo de la tercera fase de la Estrategia de Gestión Territorial.</v>
      </c>
      <c r="V222" s="698" t="str">
        <f>+IFERROR(VLOOKUP($A222,'[4]SEGUIMIENTO CONTRATOS 2018'!$A:$AJ,11,0)," ")</f>
        <v>PRESTACION DE SERVICIOS PROFESIONALES</v>
      </c>
      <c r="W222" s="752">
        <f>+IFERROR(VLOOKUP($A222,'[4]SEGUIMIENTO CONTRATOS 2018'!$A:$AJ,13,0),0)</f>
        <v>68000000</v>
      </c>
      <c r="X222" s="698">
        <f>+IFERROR(VLOOKUP($A222,'[4]SEGUIMIENTO CONTRATOS 2018'!$A:$AJ,14,0),0)</f>
        <v>0</v>
      </c>
      <c r="Y222" s="752">
        <f>+IFERROR(VLOOKUP($A222,'[4]SEGUIMIENTO CONTRATOS 2018'!$A:$AJ,15,0),0)</f>
        <v>68000000</v>
      </c>
      <c r="Z222" s="752">
        <f>+IFERROR(VLOOKUP($A222,'[4]SEGUIMIENTO CONTRATOS 2018'!$A:$AJ,15,0),0)</f>
        <v>68000000</v>
      </c>
      <c r="AA222" s="698" t="str">
        <f>+IFERROR(VLOOKUP($A222,'[4]SEGUIMIENTO CONTRATOS 2018'!$A:$AJ,16,0)," ")</f>
        <v>Ocho (8) mensualidades vencidas, cada una por valor de OCHO MILLONES QUINIENTOS MIL PESOS ($8’500.000) M/CTE.</v>
      </c>
      <c r="AB222" s="698" t="str">
        <f>+IFERROR(VLOOKUP($A222,'[4]SEGUIMIENTO CONTRATOS 2018'!$A:$AL,38,0)," ")</f>
        <v>16818</v>
      </c>
      <c r="AC222" s="698" t="str">
        <f>+IFERROR(VLOOKUP($A222,'[4]SEGUIMIENTO CONTRATOS 2018'!$A:$AJ,24,0)," ")</f>
        <v>Ocho (8) meses, contado a partir del perfeccionamiento del mismo y registro presupuestal.</v>
      </c>
      <c r="AD222" s="751">
        <f>+IFERROR(VLOOKUP($A222,'[4]SEGUIMIENTO CONTRATOS 2018'!$A:$AJ,25,0)," ")</f>
        <v>43117</v>
      </c>
      <c r="AE222" s="751">
        <f>+IFERROR(VLOOKUP($A222,'[4]SEGUIMIENTO CONTRATOS 2018'!$A:$AJ,26,0)," ")</f>
        <v>43359</v>
      </c>
      <c r="AF222" s="698" t="str">
        <f>+IFERROR(VLOOKUP($A222,'[4]SEGUIMIENTO CONTRATOS 2018'!$A:$AJ,30,0)," ")</f>
        <v xml:space="preserve">ALEJANDRO BECKER ROJAS </v>
      </c>
      <c r="AG222" s="698" t="str">
        <f>+IFERROR(VLOOKUP($A222,'[4]SEGUIMIENTO CONTRATOS 2018'!$A:$AJ,31,0)," ")</f>
        <v xml:space="preserve">DIRECCION DE DESARROLLO ORGANIZACIONAL  </v>
      </c>
    </row>
    <row r="223" spans="1:33" ht="97.5" x14ac:dyDescent="0.25">
      <c r="A223" s="690">
        <f t="shared" si="8"/>
        <v>198</v>
      </c>
      <c r="B223" s="691" t="s">
        <v>316</v>
      </c>
      <c r="C223" s="692">
        <v>80141623</v>
      </c>
      <c r="D223" s="693" t="s">
        <v>625</v>
      </c>
      <c r="E223" s="691" t="s">
        <v>48</v>
      </c>
      <c r="F223" s="691">
        <v>1</v>
      </c>
      <c r="G223" s="694" t="s">
        <v>73</v>
      </c>
      <c r="H223" s="695" t="s">
        <v>177</v>
      </c>
      <c r="I223" s="691" t="s">
        <v>61</v>
      </c>
      <c r="J223" s="691" t="s">
        <v>35</v>
      </c>
      <c r="K223" s="691" t="s">
        <v>441</v>
      </c>
      <c r="L223" s="696">
        <v>1562484</v>
      </c>
      <c r="M223" s="697">
        <v>1562484</v>
      </c>
      <c r="N223" s="691" t="s">
        <v>51</v>
      </c>
      <c r="O223" s="691" t="s">
        <v>36</v>
      </c>
      <c r="P223" s="691" t="s">
        <v>320</v>
      </c>
      <c r="Q223" s="80"/>
      <c r="R223" s="698" t="str">
        <f>+IFERROR(VLOOKUP($A223,'[4]SEGUIMIENTO CONTRATOS 2018'!$A:$AJ,2,0)," ")</f>
        <v xml:space="preserve">CM-015-2018 </v>
      </c>
      <c r="S223" s="698" t="str">
        <f>+IFERROR(VLOOKUP($A223,'[4]SEGUIMIENTO CONTRATOS 2018'!$A:$AJ,3,0)," ")</f>
        <v>CENTRAL DE INVERSIONES S.A.</v>
      </c>
      <c r="T223" s="751">
        <f>+IFERROR(VLOOKUP($A223,'[4]SEGUIMIENTO CONTRATOS 2018'!$A:$AJ,8,0)," ")</f>
        <v>43126</v>
      </c>
      <c r="U223" s="698" t="str">
        <f>+IFERROR(VLOOKUP($A223,'[4]SEGUIMIENTO CONTRATOS 2018'!$A:$AJ,9,0)," ")</f>
        <v>Realizar intermediación comercial para la enajenación de bienes muebles de propiedad del Departamento Administrativo de la Función Pública, por el sistema de subasta electrónica ascendente.</v>
      </c>
      <c r="V223" s="698" t="str">
        <f>+IFERROR(VLOOKUP($A223,'[4]SEGUIMIENTO CONTRATOS 2018'!$A:$AJ,11,0)," ")</f>
        <v>CONTRATO INTERADMINISTRATIVO</v>
      </c>
      <c r="W223" s="752">
        <f>+IFERROR(VLOOKUP($A223,'[4]SEGUIMIENTO CONTRATOS 2018'!$A:$AJ,13,0),0)</f>
        <v>1562484</v>
      </c>
      <c r="X223" s="698">
        <f>+IFERROR(VLOOKUP($A223,'[4]SEGUIMIENTO CONTRATOS 2018'!$A:$AJ,14,0),0)</f>
        <v>0</v>
      </c>
      <c r="Y223" s="752">
        <f>+IFERROR(VLOOKUP($A223,'[4]SEGUIMIENTO CONTRATOS 2018'!$A:$AJ,15,0),0)</f>
        <v>1562484</v>
      </c>
      <c r="Z223" s="752">
        <f>+IFERROR(VLOOKUP($A223,'[4]SEGUIMIENTO CONTRATOS 2018'!$A:$AJ,15,0),0)</f>
        <v>1562484</v>
      </c>
      <c r="AA223" s="698" t="str">
        <f>+IFERROR(VLOOKUP($A223,'[4]SEGUIMIENTO CONTRATOS 2018'!$A:$AJ,16,0)," ")</f>
        <v>N/A</v>
      </c>
      <c r="AB223" s="698" t="str">
        <f>+IFERROR(VLOOKUP($A223,'[4]SEGUIMIENTO CONTRATOS 2018'!$A:$AL,38,0)," ")</f>
        <v>N/A</v>
      </c>
      <c r="AC223" s="698" t="str">
        <f>+IFERROR(VLOOKUP($A223,'[4]SEGUIMIENTO CONTRATOS 2018'!$A:$AJ,24,0)," ")</f>
        <v>Un (1) año, prorrogable de mutuo acuerdo por periodos iguales, contados a partir de su perfeccionamiento.</v>
      </c>
      <c r="AD223" s="751">
        <f>+IFERROR(VLOOKUP($A223,'[4]SEGUIMIENTO CONTRATOS 2018'!$A:$AJ,25,0)," ")</f>
        <v>43126</v>
      </c>
      <c r="AE223" s="751">
        <f>+IFERROR(VLOOKUP($A223,'[4]SEGUIMIENTO CONTRATOS 2018'!$A:$AJ,26,0)," ")</f>
        <v>43490</v>
      </c>
      <c r="AF223" s="698" t="str">
        <f>+IFERROR(VLOOKUP($A223,'[4]SEGUIMIENTO CONTRATOS 2018'!$A:$AJ,30,0)," ")</f>
        <v>JULIAN MAURICIO MARTINEZ ALVARADO</v>
      </c>
      <c r="AG223" s="698" t="str">
        <f>+IFERROR(VLOOKUP($A223,'[4]SEGUIMIENTO CONTRATOS 2018'!$A:$AJ,31,0)," ")</f>
        <v xml:space="preserve">GRUPO DE GESTION ADMINISTRATIVA </v>
      </c>
    </row>
    <row r="224" spans="1:33" ht="136.5" x14ac:dyDescent="0.25">
      <c r="A224" s="690">
        <f t="shared" si="8"/>
        <v>199</v>
      </c>
      <c r="B224" s="691" t="s">
        <v>623</v>
      </c>
      <c r="C224" s="692">
        <v>80101706</v>
      </c>
      <c r="D224" s="693" t="s">
        <v>278</v>
      </c>
      <c r="E224" s="691" t="s">
        <v>48</v>
      </c>
      <c r="F224" s="691">
        <v>1</v>
      </c>
      <c r="G224" s="694" t="s">
        <v>80</v>
      </c>
      <c r="H224" s="695" t="s">
        <v>624</v>
      </c>
      <c r="I224" s="691" t="s">
        <v>61</v>
      </c>
      <c r="J224" s="691" t="s">
        <v>66</v>
      </c>
      <c r="K224" s="691" t="s">
        <v>608</v>
      </c>
      <c r="L224" s="696">
        <v>500000000</v>
      </c>
      <c r="M224" s="697">
        <v>500000000</v>
      </c>
      <c r="N224" s="691" t="s">
        <v>51</v>
      </c>
      <c r="O224" s="691" t="s">
        <v>36</v>
      </c>
      <c r="P224" s="691" t="s">
        <v>320</v>
      </c>
      <c r="Q224" s="80"/>
      <c r="R224" s="698" t="str">
        <f>+IFERROR(VLOOKUP($A224,'[4]SEGUIMIENTO CONTRATOS 2018'!$A:$AJ,2,0)," ")</f>
        <v>142-2018</v>
      </c>
      <c r="S224" s="698" t="str">
        <f>+IFERROR(VLOOKUP($A224,'[4]SEGUIMIENTO CONTRATOS 2018'!$A:$AJ,3,0)," ")</f>
        <v>SOCIEDAD HOTELERA TEQUENDAMA S.A.</v>
      </c>
      <c r="T224" s="751">
        <f>+IFERROR(VLOOKUP($A224,'[4]SEGUIMIENTO CONTRATOS 2018'!$A:$AJ,8,0)," ")</f>
        <v>43125</v>
      </c>
      <c r="U224" s="698" t="str">
        <f>+IFERROR(VLOOKUP($A224,'[4]SEGUIMIENTO CONTRATOS 2018'!$A:$AJ,9,0)," ")</f>
        <v>Prestar los servicios de apoyo logistico, en la organización y desarrollo de los eventos requeridos por la Función Pública en la vigencia 2018.</v>
      </c>
      <c r="V224" s="698" t="str">
        <f>+IFERROR(VLOOKUP($A224,'[4]SEGUIMIENTO CONTRATOS 2018'!$A:$AJ,11,0)," ")</f>
        <v xml:space="preserve">PRESTACION DE SERVICIOS </v>
      </c>
      <c r="W224" s="752">
        <f>+IFERROR(VLOOKUP($A224,'[4]SEGUIMIENTO CONTRATOS 2018'!$A:$AJ,13,0),0)</f>
        <v>500000000</v>
      </c>
      <c r="X224" s="698">
        <f>+IFERROR(VLOOKUP($A224,'[4]SEGUIMIENTO CONTRATOS 2018'!$A:$AJ,14,0),0)</f>
        <v>0</v>
      </c>
      <c r="Y224" s="752">
        <f>+IFERROR(VLOOKUP($A224,'[4]SEGUIMIENTO CONTRATOS 2018'!$A:$AJ,15,0),0)</f>
        <v>500000000</v>
      </c>
      <c r="Z224" s="752">
        <f>+IFERROR(VLOOKUP($A224,'[4]SEGUIMIENTO CONTRATOS 2018'!$A:$AJ,15,0),0)</f>
        <v>500000000</v>
      </c>
      <c r="AA224" s="698" t="str">
        <f>+IFERROR(VLOOKUP($A224,'[4]SEGUIMIENTO CONTRATOS 2018'!$A:$AJ,16,0)," ")</f>
        <v>Función Pública desembolsara el valor total asi, a) Un primer (1) desembolso por valor de CIENTO CINCUENTA MILLONES DE PESOS ($150.000.000) M/CTE, b) Un segundo (2) desembolso por valor de CIENTO CINCUENTA MILLONES DE PESOS ($150.000.000) M/CTE, y c) Un tercer (3) y ultimo desembolso por valor de DOSCIENTOS MILLONES DE PESOS ($200.000.000) M/CTE.</v>
      </c>
      <c r="AB224" s="698" t="str">
        <f>+IFERROR(VLOOKUP($A224,'[4]SEGUIMIENTO CONTRATOS 2018'!$A:$AL,38,0)," ")</f>
        <v>18118</v>
      </c>
      <c r="AC224" s="698" t="str">
        <f>+IFERROR(VLOOKUP($A224,'[4]SEGUIMIENTO CONTRATOS 2018'!$A:$AJ,24,0)," ")</f>
        <v>Hasta el veintiocho (28) de diciembre de 2018, de conformidad con lo estipulado por el Acuerdo Marco de Precios de Colombia Compra Eficiente.</v>
      </c>
      <c r="AD224" s="751">
        <f>+IFERROR(VLOOKUP($A224,'[4]SEGUIMIENTO CONTRATOS 2018'!$A:$AJ,25,0)," ")</f>
        <v>43130</v>
      </c>
      <c r="AE224" s="751">
        <f>+IFERROR(VLOOKUP($A224,'[4]SEGUIMIENTO CONTRATOS 2018'!$A:$AJ,26,0)," ")</f>
        <v>43462</v>
      </c>
      <c r="AF224" s="698" t="str">
        <f>+IFERROR(VLOOKUP($A224,'[4]SEGUIMIENTO CONTRATOS 2018'!$A:$AJ,30,0)," ")</f>
        <v>NATALIA CARRILLO MOLINA</v>
      </c>
      <c r="AG224" s="698" t="str">
        <f>+IFERROR(VLOOKUP($A224,'[4]SEGUIMIENTO CONTRATOS 2018'!$A:$AJ,31,0)," ")</f>
        <v xml:space="preserve">GRUPO DE GESTION ADMINISTRATIVA </v>
      </c>
    </row>
    <row r="225" spans="1:33" ht="141.75" customHeight="1" x14ac:dyDescent="0.25">
      <c r="A225" s="717">
        <f t="shared" si="8"/>
        <v>200</v>
      </c>
      <c r="B225" s="700" t="s">
        <v>492</v>
      </c>
      <c r="C225" s="701">
        <v>81111812</v>
      </c>
      <c r="D225" s="702" t="s">
        <v>165</v>
      </c>
      <c r="E225" s="700" t="s">
        <v>48</v>
      </c>
      <c r="F225" s="700">
        <v>1</v>
      </c>
      <c r="G225" s="703" t="s">
        <v>79</v>
      </c>
      <c r="H225" s="704">
        <v>12</v>
      </c>
      <c r="I225" s="700" t="s">
        <v>285</v>
      </c>
      <c r="J225" s="700" t="s">
        <v>66</v>
      </c>
      <c r="K225" s="700" t="s">
        <v>627</v>
      </c>
      <c r="L225" s="705">
        <v>31853134</v>
      </c>
      <c r="M225" s="705">
        <v>31853134</v>
      </c>
      <c r="N225" s="700" t="s">
        <v>51</v>
      </c>
      <c r="O225" s="700" t="s">
        <v>36</v>
      </c>
      <c r="P225" s="700" t="s">
        <v>308</v>
      </c>
      <c r="Q225" s="80"/>
      <c r="R225" s="707" t="str">
        <f>+IFERROR(VLOOKUP($A225,'[4]SEGUIMIENTO CONTRATOS 2018'!$A:$AJ,2,0)," ")</f>
        <v xml:space="preserve"> </v>
      </c>
      <c r="S225" s="707" t="str">
        <f>+IFERROR(VLOOKUP($A225,'[4]SEGUIMIENTO CONTRATOS 2018'!$A:$AJ,3,0)," ")</f>
        <v xml:space="preserve"> </v>
      </c>
      <c r="T225" s="789" t="str">
        <f>+IFERROR(VLOOKUP($A225,'[4]SEGUIMIENTO CONTRATOS 2018'!$A:$AJ,8,0)," ")</f>
        <v xml:space="preserve"> </v>
      </c>
      <c r="U225" s="707" t="str">
        <f>+IFERROR(VLOOKUP($A225,'[4]SEGUIMIENTO CONTRATOS 2018'!$A:$AJ,9,0)," ")</f>
        <v xml:space="preserve"> </v>
      </c>
      <c r="V225" s="707" t="str">
        <f>+IFERROR(VLOOKUP($A225,'[4]SEGUIMIENTO CONTRATOS 2018'!$A:$AJ,11,0)," ")</f>
        <v xml:space="preserve"> </v>
      </c>
      <c r="W225" s="790">
        <f>+IFERROR(VLOOKUP($A225,'[4]SEGUIMIENTO CONTRATOS 2018'!$A:$AJ,13,0),0)</f>
        <v>0</v>
      </c>
      <c r="X225" s="707">
        <f>+IFERROR(VLOOKUP($A225,'[4]SEGUIMIENTO CONTRATOS 2018'!$A:$AJ,14,0),0)</f>
        <v>0</v>
      </c>
      <c r="Y225" s="790">
        <f>+IFERROR(VLOOKUP($A225,'[4]SEGUIMIENTO CONTRATOS 2018'!$A:$AJ,15,0),0)</f>
        <v>0</v>
      </c>
      <c r="Z225" s="790">
        <f>+IFERROR(VLOOKUP($A225,'[4]SEGUIMIENTO CONTRATOS 2018'!$A:$AJ,15,0),0)</f>
        <v>0</v>
      </c>
      <c r="AA225" s="707" t="str">
        <f>+IFERROR(VLOOKUP($A225,'[4]SEGUIMIENTO CONTRATOS 2018'!$A:$AJ,16,0)," ")</f>
        <v xml:space="preserve"> </v>
      </c>
      <c r="AB225" s="707" t="str">
        <f>+IFERROR(VLOOKUP($A225,'[4]SEGUIMIENTO CONTRATOS 2018'!$A:$AL,38,0)," ")</f>
        <v xml:space="preserve"> </v>
      </c>
      <c r="AC225" s="707" t="str">
        <f>+IFERROR(VLOOKUP($A225,'[4]SEGUIMIENTO CONTRATOS 2018'!$A:$AJ,24,0)," ")</f>
        <v xml:space="preserve"> </v>
      </c>
      <c r="AD225" s="789" t="str">
        <f>+IFERROR(VLOOKUP($A225,'[4]SEGUIMIENTO CONTRATOS 2018'!$A:$AJ,25,0)," ")</f>
        <v xml:space="preserve"> </v>
      </c>
      <c r="AE225" s="789" t="str">
        <f>+IFERROR(VLOOKUP($A225,'[4]SEGUIMIENTO CONTRATOS 2018'!$A:$AJ,26,0)," ")</f>
        <v xml:space="preserve"> </v>
      </c>
      <c r="AF225" s="707" t="str">
        <f>+IFERROR(VLOOKUP($A225,'[4]SEGUIMIENTO CONTRATOS 2018'!$A:$AJ,30,0)," ")</f>
        <v xml:space="preserve"> </v>
      </c>
      <c r="AG225" s="707" t="str">
        <f>+IFERROR(VLOOKUP($A225,'[4]SEGUIMIENTO CONTRATOS 2018'!$A:$AJ,31,0)," ")</f>
        <v xml:space="preserve"> </v>
      </c>
    </row>
    <row r="226" spans="1:33" ht="139.5" customHeight="1" x14ac:dyDescent="0.25">
      <c r="A226" s="599">
        <f t="shared" si="8"/>
        <v>201</v>
      </c>
      <c r="B226" s="600" t="s">
        <v>492</v>
      </c>
      <c r="C226" s="687">
        <v>81112501</v>
      </c>
      <c r="D226" s="602" t="s">
        <v>168</v>
      </c>
      <c r="E226" s="600" t="s">
        <v>48</v>
      </c>
      <c r="F226" s="600">
        <v>1</v>
      </c>
      <c r="G226" s="603" t="s">
        <v>77</v>
      </c>
      <c r="H226" s="604" t="s">
        <v>194</v>
      </c>
      <c r="I226" s="600" t="s">
        <v>285</v>
      </c>
      <c r="J226" s="600" t="s">
        <v>66</v>
      </c>
      <c r="K226" s="600" t="s">
        <v>627</v>
      </c>
      <c r="L226" s="605">
        <v>43000000</v>
      </c>
      <c r="M226" s="605">
        <v>43000000</v>
      </c>
      <c r="N226" s="600" t="s">
        <v>51</v>
      </c>
      <c r="O226" s="600" t="s">
        <v>36</v>
      </c>
      <c r="P226" s="600" t="s">
        <v>308</v>
      </c>
      <c r="Q226" s="80"/>
      <c r="R226" s="707" t="str">
        <f>+IFERROR(VLOOKUP($A226,'[4]SEGUIMIENTO CONTRATOS 2018'!$A:$AJ,2,0)," ")</f>
        <v xml:space="preserve"> </v>
      </c>
      <c r="S226" s="707" t="str">
        <f>+IFERROR(VLOOKUP($A226,'[4]SEGUIMIENTO CONTRATOS 2018'!$A:$AJ,3,0)," ")</f>
        <v xml:space="preserve"> </v>
      </c>
      <c r="T226" s="789" t="str">
        <f>+IFERROR(VLOOKUP($A226,'[4]SEGUIMIENTO CONTRATOS 2018'!$A:$AJ,8,0)," ")</f>
        <v xml:space="preserve"> </v>
      </c>
      <c r="U226" s="707" t="str">
        <f>+IFERROR(VLOOKUP($A226,'[4]SEGUIMIENTO CONTRATOS 2018'!$A:$AJ,9,0)," ")</f>
        <v xml:space="preserve"> </v>
      </c>
      <c r="V226" s="707" t="str">
        <f>+IFERROR(VLOOKUP($A226,'[4]SEGUIMIENTO CONTRATOS 2018'!$A:$AJ,11,0)," ")</f>
        <v xml:space="preserve"> </v>
      </c>
      <c r="W226" s="790">
        <f>+IFERROR(VLOOKUP($A226,'[4]SEGUIMIENTO CONTRATOS 2018'!$A:$AJ,13,0),0)</f>
        <v>0</v>
      </c>
      <c r="X226" s="707">
        <f>+IFERROR(VLOOKUP($A226,'[4]SEGUIMIENTO CONTRATOS 2018'!$A:$AJ,14,0),0)</f>
        <v>0</v>
      </c>
      <c r="Y226" s="790">
        <f>+IFERROR(VLOOKUP($A226,'[4]SEGUIMIENTO CONTRATOS 2018'!$A:$AJ,15,0),0)</f>
        <v>0</v>
      </c>
      <c r="Z226" s="790">
        <f>+IFERROR(VLOOKUP($A226,'[4]SEGUIMIENTO CONTRATOS 2018'!$A:$AJ,15,0),0)</f>
        <v>0</v>
      </c>
      <c r="AA226" s="707" t="str">
        <f>+IFERROR(VLOOKUP($A226,'[4]SEGUIMIENTO CONTRATOS 2018'!$A:$AJ,16,0)," ")</f>
        <v xml:space="preserve"> </v>
      </c>
      <c r="AB226" s="707" t="str">
        <f>+IFERROR(VLOOKUP($A226,'[4]SEGUIMIENTO CONTRATOS 2018'!$A:$AL,38,0)," ")</f>
        <v xml:space="preserve"> </v>
      </c>
      <c r="AC226" s="707" t="str">
        <f>+IFERROR(VLOOKUP($A226,'[4]SEGUIMIENTO CONTRATOS 2018'!$A:$AJ,24,0)," ")</f>
        <v xml:space="preserve"> </v>
      </c>
      <c r="AD226" s="789" t="str">
        <f>+IFERROR(VLOOKUP($A226,'[4]SEGUIMIENTO CONTRATOS 2018'!$A:$AJ,25,0)," ")</f>
        <v xml:space="preserve"> </v>
      </c>
      <c r="AE226" s="789" t="str">
        <f>+IFERROR(VLOOKUP($A226,'[4]SEGUIMIENTO CONTRATOS 2018'!$A:$AJ,26,0)," ")</f>
        <v xml:space="preserve"> </v>
      </c>
      <c r="AF226" s="707" t="str">
        <f>+IFERROR(VLOOKUP($A226,'[4]SEGUIMIENTO CONTRATOS 2018'!$A:$AJ,30,0)," ")</f>
        <v xml:space="preserve"> </v>
      </c>
      <c r="AG226" s="707" t="str">
        <f>+IFERROR(VLOOKUP($A226,'[4]SEGUIMIENTO CONTRATOS 2018'!$A:$AJ,31,0)," ")</f>
        <v xml:space="preserve"> </v>
      </c>
    </row>
    <row r="227" spans="1:33" ht="125.25" customHeight="1" x14ac:dyDescent="0.25">
      <c r="A227" s="599">
        <f t="shared" si="8"/>
        <v>202</v>
      </c>
      <c r="B227" s="600" t="s">
        <v>492</v>
      </c>
      <c r="C227" s="687">
        <v>81112501</v>
      </c>
      <c r="D227" s="602" t="s">
        <v>628</v>
      </c>
      <c r="E227" s="600" t="s">
        <v>48</v>
      </c>
      <c r="F227" s="600">
        <v>1</v>
      </c>
      <c r="G227" s="603" t="s">
        <v>79</v>
      </c>
      <c r="H227" s="604">
        <v>24</v>
      </c>
      <c r="I227" s="600" t="s">
        <v>173</v>
      </c>
      <c r="J227" s="600" t="s">
        <v>66</v>
      </c>
      <c r="K227" s="600" t="s">
        <v>627</v>
      </c>
      <c r="L227" s="605">
        <v>408030000</v>
      </c>
      <c r="M227" s="605">
        <v>408030000</v>
      </c>
      <c r="N227" s="600" t="s">
        <v>51</v>
      </c>
      <c r="O227" s="600" t="s">
        <v>36</v>
      </c>
      <c r="P227" s="600" t="s">
        <v>308</v>
      </c>
      <c r="Q227" s="80"/>
      <c r="R227" s="707" t="str">
        <f>+IFERROR(VLOOKUP($A227,'[4]SEGUIMIENTO CONTRATOS 2018'!$A:$AJ,2,0)," ")</f>
        <v xml:space="preserve"> </v>
      </c>
      <c r="S227" s="707" t="str">
        <f>+IFERROR(VLOOKUP($A227,'[4]SEGUIMIENTO CONTRATOS 2018'!$A:$AJ,3,0)," ")</f>
        <v xml:space="preserve"> </v>
      </c>
      <c r="T227" s="789" t="str">
        <f>+IFERROR(VLOOKUP($A227,'[4]SEGUIMIENTO CONTRATOS 2018'!$A:$AJ,8,0)," ")</f>
        <v xml:space="preserve"> </v>
      </c>
      <c r="U227" s="707" t="str">
        <f>+IFERROR(VLOOKUP($A227,'[4]SEGUIMIENTO CONTRATOS 2018'!$A:$AJ,9,0)," ")</f>
        <v xml:space="preserve"> </v>
      </c>
      <c r="V227" s="707" t="str">
        <f>+IFERROR(VLOOKUP($A227,'[4]SEGUIMIENTO CONTRATOS 2018'!$A:$AJ,11,0)," ")</f>
        <v xml:space="preserve"> </v>
      </c>
      <c r="W227" s="790">
        <f>+IFERROR(VLOOKUP($A227,'[4]SEGUIMIENTO CONTRATOS 2018'!$A:$AJ,13,0),0)</f>
        <v>0</v>
      </c>
      <c r="X227" s="707">
        <f>+IFERROR(VLOOKUP($A227,'[4]SEGUIMIENTO CONTRATOS 2018'!$A:$AJ,14,0),0)</f>
        <v>0</v>
      </c>
      <c r="Y227" s="790">
        <f>+IFERROR(VLOOKUP($A227,'[4]SEGUIMIENTO CONTRATOS 2018'!$A:$AJ,15,0),0)</f>
        <v>0</v>
      </c>
      <c r="Z227" s="790">
        <f>+IFERROR(VLOOKUP($A227,'[4]SEGUIMIENTO CONTRATOS 2018'!$A:$AJ,15,0),0)</f>
        <v>0</v>
      </c>
      <c r="AA227" s="707" t="str">
        <f>+IFERROR(VLOOKUP($A227,'[4]SEGUIMIENTO CONTRATOS 2018'!$A:$AJ,16,0)," ")</f>
        <v xml:space="preserve"> </v>
      </c>
      <c r="AB227" s="707" t="str">
        <f>+IFERROR(VLOOKUP($A227,'[4]SEGUIMIENTO CONTRATOS 2018'!$A:$AL,38,0)," ")</f>
        <v xml:space="preserve"> </v>
      </c>
      <c r="AC227" s="707" t="str">
        <f>+IFERROR(VLOOKUP($A227,'[4]SEGUIMIENTO CONTRATOS 2018'!$A:$AJ,24,0)," ")</f>
        <v xml:space="preserve"> </v>
      </c>
      <c r="AD227" s="789" t="str">
        <f>+IFERROR(VLOOKUP($A227,'[4]SEGUIMIENTO CONTRATOS 2018'!$A:$AJ,25,0)," ")</f>
        <v xml:space="preserve"> </v>
      </c>
      <c r="AE227" s="789" t="str">
        <f>+IFERROR(VLOOKUP($A227,'[4]SEGUIMIENTO CONTRATOS 2018'!$A:$AJ,26,0)," ")</f>
        <v xml:space="preserve"> </v>
      </c>
      <c r="AF227" s="707" t="str">
        <f>+IFERROR(VLOOKUP($A227,'[4]SEGUIMIENTO CONTRATOS 2018'!$A:$AJ,30,0)," ")</f>
        <v xml:space="preserve"> </v>
      </c>
      <c r="AG227" s="707" t="str">
        <f>+IFERROR(VLOOKUP($A227,'[4]SEGUIMIENTO CONTRATOS 2018'!$A:$AJ,31,0)," ")</f>
        <v xml:space="preserve"> </v>
      </c>
    </row>
    <row r="228" spans="1:33" ht="93" x14ac:dyDescent="0.25">
      <c r="A228" s="599">
        <f t="shared" si="8"/>
        <v>203</v>
      </c>
      <c r="B228" s="600" t="s">
        <v>492</v>
      </c>
      <c r="C228" s="687">
        <v>43231508</v>
      </c>
      <c r="D228" s="602" t="s">
        <v>295</v>
      </c>
      <c r="E228" s="600" t="s">
        <v>59</v>
      </c>
      <c r="F228" s="600">
        <v>1</v>
      </c>
      <c r="G228" s="603" t="s">
        <v>77</v>
      </c>
      <c r="H228" s="604" t="s">
        <v>194</v>
      </c>
      <c r="I228" s="600" t="s">
        <v>253</v>
      </c>
      <c r="J228" s="600" t="s">
        <v>66</v>
      </c>
      <c r="K228" s="600" t="s">
        <v>627</v>
      </c>
      <c r="L228" s="605">
        <v>81400000</v>
      </c>
      <c r="M228" s="605">
        <v>81400000</v>
      </c>
      <c r="N228" s="600" t="s">
        <v>51</v>
      </c>
      <c r="O228" s="600" t="s">
        <v>36</v>
      </c>
      <c r="P228" s="600" t="s">
        <v>308</v>
      </c>
      <c r="Q228" s="80"/>
      <c r="R228" s="707" t="str">
        <f>+IFERROR(VLOOKUP($A228,'[4]SEGUIMIENTO CONTRATOS 2018'!$A:$AJ,2,0)," ")</f>
        <v xml:space="preserve"> </v>
      </c>
      <c r="S228" s="707" t="str">
        <f>+IFERROR(VLOOKUP($A228,'[4]SEGUIMIENTO CONTRATOS 2018'!$A:$AJ,3,0)," ")</f>
        <v xml:space="preserve"> </v>
      </c>
      <c r="T228" s="789" t="str">
        <f>+IFERROR(VLOOKUP($A228,'[4]SEGUIMIENTO CONTRATOS 2018'!$A:$AJ,8,0)," ")</f>
        <v xml:space="preserve"> </v>
      </c>
      <c r="U228" s="707" t="str">
        <f>+IFERROR(VLOOKUP($A228,'[4]SEGUIMIENTO CONTRATOS 2018'!$A:$AJ,9,0)," ")</f>
        <v xml:space="preserve"> </v>
      </c>
      <c r="V228" s="707" t="str">
        <f>+IFERROR(VLOOKUP($A228,'[4]SEGUIMIENTO CONTRATOS 2018'!$A:$AJ,11,0)," ")</f>
        <v xml:space="preserve"> </v>
      </c>
      <c r="W228" s="790">
        <f>+IFERROR(VLOOKUP($A228,'[4]SEGUIMIENTO CONTRATOS 2018'!$A:$AJ,13,0),0)</f>
        <v>0</v>
      </c>
      <c r="X228" s="707">
        <f>+IFERROR(VLOOKUP($A228,'[4]SEGUIMIENTO CONTRATOS 2018'!$A:$AJ,14,0),0)</f>
        <v>0</v>
      </c>
      <c r="Y228" s="790">
        <f>+IFERROR(VLOOKUP($A228,'[4]SEGUIMIENTO CONTRATOS 2018'!$A:$AJ,15,0),0)</f>
        <v>0</v>
      </c>
      <c r="Z228" s="790">
        <f>+IFERROR(VLOOKUP($A228,'[4]SEGUIMIENTO CONTRATOS 2018'!$A:$AJ,15,0),0)</f>
        <v>0</v>
      </c>
      <c r="AA228" s="707" t="str">
        <f>+IFERROR(VLOOKUP($A228,'[4]SEGUIMIENTO CONTRATOS 2018'!$A:$AJ,16,0)," ")</f>
        <v xml:space="preserve"> </v>
      </c>
      <c r="AB228" s="707" t="str">
        <f>+IFERROR(VLOOKUP($A228,'[4]SEGUIMIENTO CONTRATOS 2018'!$A:$AL,38,0)," ")</f>
        <v xml:space="preserve"> </v>
      </c>
      <c r="AC228" s="707" t="str">
        <f>+IFERROR(VLOOKUP($A228,'[4]SEGUIMIENTO CONTRATOS 2018'!$A:$AJ,24,0)," ")</f>
        <v xml:space="preserve"> </v>
      </c>
      <c r="AD228" s="789" t="str">
        <f>+IFERROR(VLOOKUP($A228,'[4]SEGUIMIENTO CONTRATOS 2018'!$A:$AJ,25,0)," ")</f>
        <v xml:space="preserve"> </v>
      </c>
      <c r="AE228" s="789" t="str">
        <f>+IFERROR(VLOOKUP($A228,'[4]SEGUIMIENTO CONTRATOS 2018'!$A:$AJ,26,0)," ")</f>
        <v xml:space="preserve"> </v>
      </c>
      <c r="AF228" s="707" t="str">
        <f>+IFERROR(VLOOKUP($A228,'[4]SEGUIMIENTO CONTRATOS 2018'!$A:$AJ,30,0)," ")</f>
        <v xml:space="preserve"> </v>
      </c>
      <c r="AG228" s="707" t="str">
        <f>+IFERROR(VLOOKUP($A228,'[4]SEGUIMIENTO CONTRATOS 2018'!$A:$AJ,31,0)," ")</f>
        <v xml:space="preserve"> </v>
      </c>
    </row>
    <row r="229" spans="1:33" ht="93" x14ac:dyDescent="0.25">
      <c r="A229" s="599">
        <f t="shared" si="8"/>
        <v>204</v>
      </c>
      <c r="B229" s="600" t="s">
        <v>492</v>
      </c>
      <c r="C229" s="687">
        <v>81112501</v>
      </c>
      <c r="D229" s="602" t="s">
        <v>629</v>
      </c>
      <c r="E229" s="600" t="s">
        <v>68</v>
      </c>
      <c r="F229" s="600">
        <v>1</v>
      </c>
      <c r="G229" s="603" t="s">
        <v>74</v>
      </c>
      <c r="H229" s="604" t="s">
        <v>194</v>
      </c>
      <c r="I229" s="600" t="s">
        <v>285</v>
      </c>
      <c r="J229" s="600" t="s">
        <v>66</v>
      </c>
      <c r="K229" s="600" t="s">
        <v>627</v>
      </c>
      <c r="L229" s="605">
        <v>30000000</v>
      </c>
      <c r="M229" s="605">
        <v>30000000</v>
      </c>
      <c r="N229" s="600" t="s">
        <v>51</v>
      </c>
      <c r="O229" s="600" t="s">
        <v>36</v>
      </c>
      <c r="P229" s="600" t="s">
        <v>308</v>
      </c>
      <c r="Q229" s="80"/>
      <c r="R229" s="707" t="str">
        <f>+IFERROR(VLOOKUP($A229,'[4]SEGUIMIENTO CONTRATOS 2018'!$A:$AJ,2,0)," ")</f>
        <v xml:space="preserve"> </v>
      </c>
      <c r="S229" s="707" t="str">
        <f>+IFERROR(VLOOKUP($A229,'[4]SEGUIMIENTO CONTRATOS 2018'!$A:$AJ,3,0)," ")</f>
        <v xml:space="preserve"> </v>
      </c>
      <c r="T229" s="789" t="str">
        <f>+IFERROR(VLOOKUP($A229,'[4]SEGUIMIENTO CONTRATOS 2018'!$A:$AJ,8,0)," ")</f>
        <v xml:space="preserve"> </v>
      </c>
      <c r="U229" s="707" t="str">
        <f>+IFERROR(VLOOKUP($A229,'[4]SEGUIMIENTO CONTRATOS 2018'!$A:$AJ,9,0)," ")</f>
        <v xml:space="preserve"> </v>
      </c>
      <c r="V229" s="707" t="str">
        <f>+IFERROR(VLOOKUP($A229,'[4]SEGUIMIENTO CONTRATOS 2018'!$A:$AJ,11,0)," ")</f>
        <v xml:space="preserve"> </v>
      </c>
      <c r="W229" s="790">
        <f>+IFERROR(VLOOKUP($A229,'[4]SEGUIMIENTO CONTRATOS 2018'!$A:$AJ,13,0),0)</f>
        <v>0</v>
      </c>
      <c r="X229" s="707">
        <f>+IFERROR(VLOOKUP($A229,'[4]SEGUIMIENTO CONTRATOS 2018'!$A:$AJ,14,0),0)</f>
        <v>0</v>
      </c>
      <c r="Y229" s="790">
        <f>+IFERROR(VLOOKUP($A229,'[4]SEGUIMIENTO CONTRATOS 2018'!$A:$AJ,15,0),0)</f>
        <v>0</v>
      </c>
      <c r="Z229" s="790">
        <f>+IFERROR(VLOOKUP($A229,'[4]SEGUIMIENTO CONTRATOS 2018'!$A:$AJ,15,0),0)</f>
        <v>0</v>
      </c>
      <c r="AA229" s="707" t="str">
        <f>+IFERROR(VLOOKUP($A229,'[4]SEGUIMIENTO CONTRATOS 2018'!$A:$AJ,16,0)," ")</f>
        <v xml:space="preserve"> </v>
      </c>
      <c r="AB229" s="707" t="str">
        <f>+IFERROR(VLOOKUP($A229,'[4]SEGUIMIENTO CONTRATOS 2018'!$A:$AL,38,0)," ")</f>
        <v xml:space="preserve"> </v>
      </c>
      <c r="AC229" s="707" t="str">
        <f>+IFERROR(VLOOKUP($A229,'[4]SEGUIMIENTO CONTRATOS 2018'!$A:$AJ,24,0)," ")</f>
        <v xml:space="preserve"> </v>
      </c>
      <c r="AD229" s="789" t="str">
        <f>+IFERROR(VLOOKUP($A229,'[4]SEGUIMIENTO CONTRATOS 2018'!$A:$AJ,25,0)," ")</f>
        <v xml:space="preserve"> </v>
      </c>
      <c r="AE229" s="789" t="str">
        <f>+IFERROR(VLOOKUP($A229,'[4]SEGUIMIENTO CONTRATOS 2018'!$A:$AJ,26,0)," ")</f>
        <v xml:space="preserve"> </v>
      </c>
      <c r="AF229" s="707" t="str">
        <f>+IFERROR(VLOOKUP($A229,'[4]SEGUIMIENTO CONTRATOS 2018'!$A:$AJ,30,0)," ")</f>
        <v xml:space="preserve"> </v>
      </c>
      <c r="AG229" s="707" t="str">
        <f>+IFERROR(VLOOKUP($A229,'[4]SEGUIMIENTO CONTRATOS 2018'!$A:$AJ,31,0)," ")</f>
        <v xml:space="preserve"> </v>
      </c>
    </row>
    <row r="230" spans="1:33" ht="121.5" customHeight="1" x14ac:dyDescent="0.25">
      <c r="A230" s="599">
        <f t="shared" si="8"/>
        <v>205</v>
      </c>
      <c r="B230" s="600" t="s">
        <v>492</v>
      </c>
      <c r="C230" s="687">
        <v>81112501</v>
      </c>
      <c r="D230" s="602" t="s">
        <v>630</v>
      </c>
      <c r="E230" s="600" t="s">
        <v>48</v>
      </c>
      <c r="F230" s="600">
        <v>1</v>
      </c>
      <c r="G230" s="603" t="s">
        <v>78</v>
      </c>
      <c r="H230" s="604">
        <v>12</v>
      </c>
      <c r="I230" s="600" t="s">
        <v>253</v>
      </c>
      <c r="J230" s="600" t="s">
        <v>66</v>
      </c>
      <c r="K230" s="600" t="s">
        <v>627</v>
      </c>
      <c r="L230" s="605">
        <v>11330000</v>
      </c>
      <c r="M230" s="605">
        <v>11330000</v>
      </c>
      <c r="N230" s="600" t="s">
        <v>51</v>
      </c>
      <c r="O230" s="600" t="s">
        <v>36</v>
      </c>
      <c r="P230" s="600" t="s">
        <v>308</v>
      </c>
      <c r="Q230" s="80"/>
      <c r="R230" s="707" t="str">
        <f>+IFERROR(VLOOKUP($A230,'[4]SEGUIMIENTO CONTRATOS 2018'!$A:$AJ,2,0)," ")</f>
        <v xml:space="preserve"> </v>
      </c>
      <c r="S230" s="707" t="str">
        <f>+IFERROR(VLOOKUP($A230,'[4]SEGUIMIENTO CONTRATOS 2018'!$A:$AJ,3,0)," ")</f>
        <v xml:space="preserve"> </v>
      </c>
      <c r="T230" s="789" t="str">
        <f>+IFERROR(VLOOKUP($A230,'[4]SEGUIMIENTO CONTRATOS 2018'!$A:$AJ,8,0)," ")</f>
        <v xml:space="preserve"> </v>
      </c>
      <c r="U230" s="707" t="str">
        <f>+IFERROR(VLOOKUP($A230,'[4]SEGUIMIENTO CONTRATOS 2018'!$A:$AJ,9,0)," ")</f>
        <v xml:space="preserve"> </v>
      </c>
      <c r="V230" s="707" t="str">
        <f>+IFERROR(VLOOKUP($A230,'[4]SEGUIMIENTO CONTRATOS 2018'!$A:$AJ,11,0)," ")</f>
        <v xml:space="preserve"> </v>
      </c>
      <c r="W230" s="790">
        <f>+IFERROR(VLOOKUP($A230,'[4]SEGUIMIENTO CONTRATOS 2018'!$A:$AJ,13,0),0)</f>
        <v>0</v>
      </c>
      <c r="X230" s="707">
        <f>+IFERROR(VLOOKUP($A230,'[4]SEGUIMIENTO CONTRATOS 2018'!$A:$AJ,14,0),0)</f>
        <v>0</v>
      </c>
      <c r="Y230" s="790">
        <f>+IFERROR(VLOOKUP($A230,'[4]SEGUIMIENTO CONTRATOS 2018'!$A:$AJ,15,0),0)</f>
        <v>0</v>
      </c>
      <c r="Z230" s="790">
        <f>+IFERROR(VLOOKUP($A230,'[4]SEGUIMIENTO CONTRATOS 2018'!$A:$AJ,15,0),0)</f>
        <v>0</v>
      </c>
      <c r="AA230" s="707" t="str">
        <f>+IFERROR(VLOOKUP($A230,'[4]SEGUIMIENTO CONTRATOS 2018'!$A:$AJ,16,0)," ")</f>
        <v xml:space="preserve"> </v>
      </c>
      <c r="AB230" s="707" t="str">
        <f>+IFERROR(VLOOKUP($A230,'[4]SEGUIMIENTO CONTRATOS 2018'!$A:$AL,38,0)," ")</f>
        <v xml:space="preserve"> </v>
      </c>
      <c r="AC230" s="707" t="str">
        <f>+IFERROR(VLOOKUP($A230,'[4]SEGUIMIENTO CONTRATOS 2018'!$A:$AJ,24,0)," ")</f>
        <v xml:space="preserve"> </v>
      </c>
      <c r="AD230" s="789" t="str">
        <f>+IFERROR(VLOOKUP($A230,'[4]SEGUIMIENTO CONTRATOS 2018'!$A:$AJ,25,0)," ")</f>
        <v xml:space="preserve"> </v>
      </c>
      <c r="AE230" s="789" t="str">
        <f>+IFERROR(VLOOKUP($A230,'[4]SEGUIMIENTO CONTRATOS 2018'!$A:$AJ,26,0)," ")</f>
        <v xml:space="preserve"> </v>
      </c>
      <c r="AF230" s="707" t="str">
        <f>+IFERROR(VLOOKUP($A230,'[4]SEGUIMIENTO CONTRATOS 2018'!$A:$AJ,30,0)," ")</f>
        <v xml:space="preserve"> </v>
      </c>
      <c r="AG230" s="707" t="str">
        <f>+IFERROR(VLOOKUP($A230,'[4]SEGUIMIENTO CONTRATOS 2018'!$A:$AJ,31,0)," ")</f>
        <v xml:space="preserve"> </v>
      </c>
    </row>
    <row r="231" spans="1:33" ht="111" customHeight="1" x14ac:dyDescent="0.25">
      <c r="A231" s="599">
        <f t="shared" si="8"/>
        <v>206</v>
      </c>
      <c r="B231" s="600" t="s">
        <v>492</v>
      </c>
      <c r="C231" s="687">
        <v>43233205</v>
      </c>
      <c r="D231" s="602" t="s">
        <v>291</v>
      </c>
      <c r="E231" s="600" t="s">
        <v>68</v>
      </c>
      <c r="F231" s="600">
        <v>1</v>
      </c>
      <c r="G231" s="603" t="s">
        <v>77</v>
      </c>
      <c r="H231" s="604" t="s">
        <v>194</v>
      </c>
      <c r="I231" s="600" t="s">
        <v>253</v>
      </c>
      <c r="J231" s="600" t="s">
        <v>66</v>
      </c>
      <c r="K231" s="600" t="s">
        <v>627</v>
      </c>
      <c r="L231" s="605">
        <v>37400000</v>
      </c>
      <c r="M231" s="605">
        <v>37400000</v>
      </c>
      <c r="N231" s="600" t="s">
        <v>51</v>
      </c>
      <c r="O231" s="600" t="s">
        <v>36</v>
      </c>
      <c r="P231" s="600" t="s">
        <v>308</v>
      </c>
      <c r="Q231" s="80"/>
      <c r="R231" s="707" t="str">
        <f>+IFERROR(VLOOKUP($A231,'[4]SEGUIMIENTO CONTRATOS 2018'!$A:$AJ,2,0)," ")</f>
        <v xml:space="preserve"> </v>
      </c>
      <c r="S231" s="707" t="str">
        <f>+IFERROR(VLOOKUP($A231,'[4]SEGUIMIENTO CONTRATOS 2018'!$A:$AJ,3,0)," ")</f>
        <v xml:space="preserve"> </v>
      </c>
      <c r="T231" s="789" t="str">
        <f>+IFERROR(VLOOKUP($A231,'[4]SEGUIMIENTO CONTRATOS 2018'!$A:$AJ,8,0)," ")</f>
        <v xml:space="preserve"> </v>
      </c>
      <c r="U231" s="707" t="str">
        <f>+IFERROR(VLOOKUP($A231,'[4]SEGUIMIENTO CONTRATOS 2018'!$A:$AJ,9,0)," ")</f>
        <v xml:space="preserve"> </v>
      </c>
      <c r="V231" s="707" t="str">
        <f>+IFERROR(VLOOKUP($A231,'[4]SEGUIMIENTO CONTRATOS 2018'!$A:$AJ,11,0)," ")</f>
        <v xml:space="preserve"> </v>
      </c>
      <c r="W231" s="790">
        <f>+IFERROR(VLOOKUP($A231,'[4]SEGUIMIENTO CONTRATOS 2018'!$A:$AJ,13,0),0)</f>
        <v>0</v>
      </c>
      <c r="X231" s="707">
        <f>+IFERROR(VLOOKUP($A231,'[4]SEGUIMIENTO CONTRATOS 2018'!$A:$AJ,14,0),0)</f>
        <v>0</v>
      </c>
      <c r="Y231" s="790">
        <f>+IFERROR(VLOOKUP($A231,'[4]SEGUIMIENTO CONTRATOS 2018'!$A:$AJ,15,0),0)</f>
        <v>0</v>
      </c>
      <c r="Z231" s="790">
        <f>+IFERROR(VLOOKUP($A231,'[4]SEGUIMIENTO CONTRATOS 2018'!$A:$AJ,15,0),0)</f>
        <v>0</v>
      </c>
      <c r="AA231" s="707" t="str">
        <f>+IFERROR(VLOOKUP($A231,'[4]SEGUIMIENTO CONTRATOS 2018'!$A:$AJ,16,0)," ")</f>
        <v xml:space="preserve"> </v>
      </c>
      <c r="AB231" s="707" t="str">
        <f>+IFERROR(VLOOKUP($A231,'[4]SEGUIMIENTO CONTRATOS 2018'!$A:$AL,38,0)," ")</f>
        <v xml:space="preserve"> </v>
      </c>
      <c r="AC231" s="707" t="str">
        <f>+IFERROR(VLOOKUP($A231,'[4]SEGUIMIENTO CONTRATOS 2018'!$A:$AJ,24,0)," ")</f>
        <v xml:space="preserve"> </v>
      </c>
      <c r="AD231" s="789" t="str">
        <f>+IFERROR(VLOOKUP($A231,'[4]SEGUIMIENTO CONTRATOS 2018'!$A:$AJ,25,0)," ")</f>
        <v xml:space="preserve"> </v>
      </c>
      <c r="AE231" s="789" t="str">
        <f>+IFERROR(VLOOKUP($A231,'[4]SEGUIMIENTO CONTRATOS 2018'!$A:$AJ,26,0)," ")</f>
        <v xml:space="preserve"> </v>
      </c>
      <c r="AF231" s="707" t="str">
        <f>+IFERROR(VLOOKUP($A231,'[4]SEGUIMIENTO CONTRATOS 2018'!$A:$AJ,30,0)," ")</f>
        <v xml:space="preserve"> </v>
      </c>
      <c r="AG231" s="707" t="str">
        <f>+IFERROR(VLOOKUP($A231,'[4]SEGUIMIENTO CONTRATOS 2018'!$A:$AJ,31,0)," ")</f>
        <v xml:space="preserve"> </v>
      </c>
    </row>
    <row r="232" spans="1:33" ht="93" x14ac:dyDescent="0.25">
      <c r="A232" s="748">
        <f t="shared" si="8"/>
        <v>207</v>
      </c>
      <c r="B232" s="741" t="s">
        <v>492</v>
      </c>
      <c r="C232" s="742">
        <v>43232703</v>
      </c>
      <c r="D232" s="743" t="s">
        <v>293</v>
      </c>
      <c r="E232" s="741" t="s">
        <v>68</v>
      </c>
      <c r="F232" s="741">
        <v>1</v>
      </c>
      <c r="G232" s="744" t="s">
        <v>78</v>
      </c>
      <c r="H232" s="745" t="s">
        <v>232</v>
      </c>
      <c r="I232" s="741" t="s">
        <v>253</v>
      </c>
      <c r="J232" s="741" t="s">
        <v>66</v>
      </c>
      <c r="K232" s="741" t="s">
        <v>627</v>
      </c>
      <c r="L232" s="746"/>
      <c r="M232" s="746"/>
      <c r="N232" s="741" t="s">
        <v>51</v>
      </c>
      <c r="O232" s="741" t="s">
        <v>36</v>
      </c>
      <c r="P232" s="741" t="s">
        <v>308</v>
      </c>
      <c r="Q232" s="80"/>
      <c r="R232" s="707" t="str">
        <f>+IFERROR(VLOOKUP($A232,'[4]SEGUIMIENTO CONTRATOS 2018'!$A:$AJ,2,0)," ")</f>
        <v xml:space="preserve"> </v>
      </c>
      <c r="S232" s="707" t="str">
        <f>+IFERROR(VLOOKUP($A232,'[4]SEGUIMIENTO CONTRATOS 2018'!$A:$AJ,3,0)," ")</f>
        <v xml:space="preserve"> </v>
      </c>
      <c r="T232" s="789" t="str">
        <f>+IFERROR(VLOOKUP($A232,'[4]SEGUIMIENTO CONTRATOS 2018'!$A:$AJ,8,0)," ")</f>
        <v xml:space="preserve"> </v>
      </c>
      <c r="U232" s="707" t="str">
        <f>+IFERROR(VLOOKUP($A232,'[4]SEGUIMIENTO CONTRATOS 2018'!$A:$AJ,9,0)," ")</f>
        <v xml:space="preserve"> </v>
      </c>
      <c r="V232" s="707" t="str">
        <f>+IFERROR(VLOOKUP($A232,'[4]SEGUIMIENTO CONTRATOS 2018'!$A:$AJ,11,0)," ")</f>
        <v xml:space="preserve"> </v>
      </c>
      <c r="W232" s="790">
        <f>+IFERROR(VLOOKUP($A232,'[4]SEGUIMIENTO CONTRATOS 2018'!$A:$AJ,13,0),0)</f>
        <v>0</v>
      </c>
      <c r="X232" s="707">
        <f>+IFERROR(VLOOKUP($A232,'[4]SEGUIMIENTO CONTRATOS 2018'!$A:$AJ,14,0),0)</f>
        <v>0</v>
      </c>
      <c r="Y232" s="790">
        <f>+IFERROR(VLOOKUP($A232,'[4]SEGUIMIENTO CONTRATOS 2018'!$A:$AJ,15,0),0)</f>
        <v>0</v>
      </c>
      <c r="Z232" s="790">
        <f>+IFERROR(VLOOKUP($A232,'[4]SEGUIMIENTO CONTRATOS 2018'!$A:$AJ,15,0),0)</f>
        <v>0</v>
      </c>
      <c r="AA232" s="707" t="str">
        <f>+IFERROR(VLOOKUP($A232,'[4]SEGUIMIENTO CONTRATOS 2018'!$A:$AJ,16,0)," ")</f>
        <v xml:space="preserve"> </v>
      </c>
      <c r="AB232" s="707" t="str">
        <f>+IFERROR(VLOOKUP($A232,'[4]SEGUIMIENTO CONTRATOS 2018'!$A:$AL,38,0)," ")</f>
        <v xml:space="preserve"> </v>
      </c>
      <c r="AC232" s="707" t="str">
        <f>+IFERROR(VLOOKUP($A232,'[4]SEGUIMIENTO CONTRATOS 2018'!$A:$AJ,24,0)," ")</f>
        <v xml:space="preserve"> </v>
      </c>
      <c r="AD232" s="789" t="str">
        <f>+IFERROR(VLOOKUP($A232,'[4]SEGUIMIENTO CONTRATOS 2018'!$A:$AJ,25,0)," ")</f>
        <v xml:space="preserve"> </v>
      </c>
      <c r="AE232" s="789" t="str">
        <f>+IFERROR(VLOOKUP($A232,'[4]SEGUIMIENTO CONTRATOS 2018'!$A:$AJ,26,0)," ")</f>
        <v xml:space="preserve"> </v>
      </c>
      <c r="AF232" s="707" t="str">
        <f>+IFERROR(VLOOKUP($A232,'[4]SEGUIMIENTO CONTRATOS 2018'!$A:$AJ,30,0)," ")</f>
        <v xml:space="preserve"> </v>
      </c>
      <c r="AG232" s="707" t="str">
        <f>+IFERROR(VLOOKUP($A232,'[4]SEGUIMIENTO CONTRATOS 2018'!$A:$AJ,31,0)," ")</f>
        <v xml:space="preserve"> </v>
      </c>
    </row>
    <row r="233" spans="1:33" ht="93" x14ac:dyDescent="0.25">
      <c r="A233" s="748">
        <f t="shared" si="8"/>
        <v>208</v>
      </c>
      <c r="B233" s="600" t="s">
        <v>492</v>
      </c>
      <c r="C233" s="687" t="s">
        <v>645</v>
      </c>
      <c r="D233" s="602" t="s">
        <v>288</v>
      </c>
      <c r="E233" s="600" t="s">
        <v>68</v>
      </c>
      <c r="F233" s="600">
        <v>1</v>
      </c>
      <c r="G233" s="603" t="s">
        <v>74</v>
      </c>
      <c r="H233" s="604">
        <v>12</v>
      </c>
      <c r="I233" s="600" t="s">
        <v>285</v>
      </c>
      <c r="J233" s="600" t="s">
        <v>66</v>
      </c>
      <c r="K233" s="600" t="s">
        <v>627</v>
      </c>
      <c r="L233" s="637">
        <v>62100000</v>
      </c>
      <c r="M233" s="637">
        <v>62100000</v>
      </c>
      <c r="N233" s="600" t="s">
        <v>51</v>
      </c>
      <c r="O233" s="600" t="s">
        <v>36</v>
      </c>
      <c r="P233" s="600" t="s">
        <v>308</v>
      </c>
      <c r="Q233" s="80"/>
      <c r="R233" s="707" t="str">
        <f>+IFERROR(VLOOKUP($A233,'[4]SEGUIMIENTO CONTRATOS 2018'!$A:$AJ,2,0)," ")</f>
        <v xml:space="preserve"> </v>
      </c>
      <c r="S233" s="707" t="str">
        <f>+IFERROR(VLOOKUP($A233,'[4]SEGUIMIENTO CONTRATOS 2018'!$A:$AJ,3,0)," ")</f>
        <v xml:space="preserve"> </v>
      </c>
      <c r="T233" s="789" t="str">
        <f>+IFERROR(VLOOKUP($A233,'[4]SEGUIMIENTO CONTRATOS 2018'!$A:$AJ,8,0)," ")</f>
        <v xml:space="preserve"> </v>
      </c>
      <c r="U233" s="707" t="str">
        <f>+IFERROR(VLOOKUP($A233,'[4]SEGUIMIENTO CONTRATOS 2018'!$A:$AJ,9,0)," ")</f>
        <v xml:space="preserve"> </v>
      </c>
      <c r="V233" s="707" t="str">
        <f>+IFERROR(VLOOKUP($A233,'[4]SEGUIMIENTO CONTRATOS 2018'!$A:$AJ,11,0)," ")</f>
        <v xml:space="preserve"> </v>
      </c>
      <c r="W233" s="790">
        <f>+IFERROR(VLOOKUP($A233,'[4]SEGUIMIENTO CONTRATOS 2018'!$A:$AJ,13,0),0)</f>
        <v>0</v>
      </c>
      <c r="X233" s="707">
        <f>+IFERROR(VLOOKUP($A233,'[4]SEGUIMIENTO CONTRATOS 2018'!$A:$AJ,14,0),0)</f>
        <v>0</v>
      </c>
      <c r="Y233" s="790">
        <f>+IFERROR(VLOOKUP($A233,'[4]SEGUIMIENTO CONTRATOS 2018'!$A:$AJ,15,0),0)</f>
        <v>0</v>
      </c>
      <c r="Z233" s="790">
        <f>+IFERROR(VLOOKUP($A233,'[4]SEGUIMIENTO CONTRATOS 2018'!$A:$AJ,15,0),0)</f>
        <v>0</v>
      </c>
      <c r="AA233" s="707" t="str">
        <f>+IFERROR(VLOOKUP($A233,'[4]SEGUIMIENTO CONTRATOS 2018'!$A:$AJ,16,0)," ")</f>
        <v xml:space="preserve"> </v>
      </c>
      <c r="AB233" s="707" t="str">
        <f>+IFERROR(VLOOKUP($A233,'[4]SEGUIMIENTO CONTRATOS 2018'!$A:$AL,38,0)," ")</f>
        <v xml:space="preserve"> </v>
      </c>
      <c r="AC233" s="707" t="str">
        <f>+IFERROR(VLOOKUP($A233,'[4]SEGUIMIENTO CONTRATOS 2018'!$A:$AJ,24,0)," ")</f>
        <v xml:space="preserve"> </v>
      </c>
      <c r="AD233" s="789" t="str">
        <f>+IFERROR(VLOOKUP($A233,'[4]SEGUIMIENTO CONTRATOS 2018'!$A:$AJ,25,0)," ")</f>
        <v xml:space="preserve"> </v>
      </c>
      <c r="AE233" s="789" t="str">
        <f>+IFERROR(VLOOKUP($A233,'[4]SEGUIMIENTO CONTRATOS 2018'!$A:$AJ,26,0)," ")</f>
        <v xml:space="preserve"> </v>
      </c>
      <c r="AF233" s="707" t="str">
        <f>+IFERROR(VLOOKUP($A233,'[4]SEGUIMIENTO CONTRATOS 2018'!$A:$AJ,30,0)," ")</f>
        <v xml:space="preserve"> </v>
      </c>
      <c r="AG233" s="707" t="str">
        <f>+IFERROR(VLOOKUP($A233,'[4]SEGUIMIENTO CONTRATOS 2018'!$A:$AJ,31,0)," ")</f>
        <v xml:space="preserve"> </v>
      </c>
    </row>
    <row r="234" spans="1:33" ht="126.6" customHeight="1" x14ac:dyDescent="0.25">
      <c r="A234" s="748">
        <f t="shared" si="8"/>
        <v>209</v>
      </c>
      <c r="B234" s="600" t="s">
        <v>633</v>
      </c>
      <c r="C234" s="687">
        <v>81112501</v>
      </c>
      <c r="D234" s="686" t="s">
        <v>1234</v>
      </c>
      <c r="E234" s="600" t="s">
        <v>68</v>
      </c>
      <c r="F234" s="600">
        <v>1</v>
      </c>
      <c r="G234" s="603" t="s">
        <v>80</v>
      </c>
      <c r="H234" s="604">
        <v>12</v>
      </c>
      <c r="I234" s="685" t="s">
        <v>285</v>
      </c>
      <c r="J234" s="600" t="s">
        <v>66</v>
      </c>
      <c r="K234" s="600" t="s">
        <v>608</v>
      </c>
      <c r="L234" s="605">
        <v>252585137</v>
      </c>
      <c r="M234" s="606">
        <v>252585137</v>
      </c>
      <c r="N234" s="600" t="s">
        <v>51</v>
      </c>
      <c r="O234" s="600" t="s">
        <v>36</v>
      </c>
      <c r="P234" s="600" t="s">
        <v>308</v>
      </c>
      <c r="Q234" s="80"/>
      <c r="R234" s="707" t="str">
        <f>+IFERROR(VLOOKUP($A234,'[4]SEGUIMIENTO CONTRATOS 2018'!$A:$AJ,2,0)," ")</f>
        <v xml:space="preserve"> </v>
      </c>
      <c r="S234" s="707" t="str">
        <f>+IFERROR(VLOOKUP($A234,'[4]SEGUIMIENTO CONTRATOS 2018'!$A:$AJ,3,0)," ")</f>
        <v xml:space="preserve"> </v>
      </c>
      <c r="T234" s="789" t="str">
        <f>+IFERROR(VLOOKUP($A234,'[4]SEGUIMIENTO CONTRATOS 2018'!$A:$AJ,8,0)," ")</f>
        <v xml:space="preserve"> </v>
      </c>
      <c r="U234" s="707" t="str">
        <f>+IFERROR(VLOOKUP($A234,'[4]SEGUIMIENTO CONTRATOS 2018'!$A:$AJ,9,0)," ")</f>
        <v xml:space="preserve"> </v>
      </c>
      <c r="V234" s="707" t="str">
        <f>+IFERROR(VLOOKUP($A234,'[4]SEGUIMIENTO CONTRATOS 2018'!$A:$AJ,11,0)," ")</f>
        <v xml:space="preserve"> </v>
      </c>
      <c r="W234" s="790">
        <f>+IFERROR(VLOOKUP($A234,'[4]SEGUIMIENTO CONTRATOS 2018'!$A:$AJ,13,0),0)</f>
        <v>0</v>
      </c>
      <c r="X234" s="707">
        <f>+IFERROR(VLOOKUP($A234,'[4]SEGUIMIENTO CONTRATOS 2018'!$A:$AJ,14,0),0)</f>
        <v>0</v>
      </c>
      <c r="Y234" s="790">
        <f>+IFERROR(VLOOKUP($A234,'[4]SEGUIMIENTO CONTRATOS 2018'!$A:$AJ,15,0),0)</f>
        <v>0</v>
      </c>
      <c r="Z234" s="790">
        <f>+IFERROR(VLOOKUP($A234,'[4]SEGUIMIENTO CONTRATOS 2018'!$A:$AJ,15,0),0)</f>
        <v>0</v>
      </c>
      <c r="AA234" s="707" t="str">
        <f>+IFERROR(VLOOKUP($A234,'[4]SEGUIMIENTO CONTRATOS 2018'!$A:$AJ,16,0)," ")</f>
        <v xml:space="preserve"> </v>
      </c>
      <c r="AB234" s="707" t="str">
        <f>+IFERROR(VLOOKUP($A234,'[4]SEGUIMIENTO CONTRATOS 2018'!$A:$AL,38,0)," ")</f>
        <v xml:space="preserve"> </v>
      </c>
      <c r="AC234" s="707" t="str">
        <f>+IFERROR(VLOOKUP($A234,'[4]SEGUIMIENTO CONTRATOS 2018'!$A:$AJ,24,0)," ")</f>
        <v xml:space="preserve"> </v>
      </c>
      <c r="AD234" s="789" t="str">
        <f>+IFERROR(VLOOKUP($A234,'[4]SEGUIMIENTO CONTRATOS 2018'!$A:$AJ,25,0)," ")</f>
        <v xml:space="preserve"> </v>
      </c>
      <c r="AE234" s="789" t="str">
        <f>+IFERROR(VLOOKUP($A234,'[4]SEGUIMIENTO CONTRATOS 2018'!$A:$AJ,26,0)," ")</f>
        <v xml:space="preserve"> </v>
      </c>
      <c r="AF234" s="707" t="str">
        <f>+IFERROR(VLOOKUP($A234,'[4]SEGUIMIENTO CONTRATOS 2018'!$A:$AJ,30,0)," ")</f>
        <v xml:space="preserve"> </v>
      </c>
      <c r="AG234" s="707" t="str">
        <f>+IFERROR(VLOOKUP($A234,'[4]SEGUIMIENTO CONTRATOS 2018'!$A:$AJ,31,0)," ")</f>
        <v xml:space="preserve"> </v>
      </c>
    </row>
    <row r="235" spans="1:33" ht="93" x14ac:dyDescent="0.25">
      <c r="A235" s="599">
        <f t="shared" si="8"/>
        <v>210</v>
      </c>
      <c r="B235" s="600" t="s">
        <v>633</v>
      </c>
      <c r="C235" s="687">
        <v>81112501</v>
      </c>
      <c r="D235" s="602" t="s">
        <v>270</v>
      </c>
      <c r="E235" s="600" t="s">
        <v>68</v>
      </c>
      <c r="F235" s="600">
        <v>1</v>
      </c>
      <c r="G235" s="603" t="s">
        <v>77</v>
      </c>
      <c r="H235" s="604">
        <v>12</v>
      </c>
      <c r="I235" s="600" t="s">
        <v>173</v>
      </c>
      <c r="J235" s="600" t="s">
        <v>66</v>
      </c>
      <c r="K235" s="600" t="s">
        <v>608</v>
      </c>
      <c r="L235" s="605">
        <v>370858400.00000006</v>
      </c>
      <c r="M235" s="606">
        <v>370858400.00000006</v>
      </c>
      <c r="N235" s="600" t="s">
        <v>51</v>
      </c>
      <c r="O235" s="600" t="s">
        <v>36</v>
      </c>
      <c r="P235" s="600" t="s">
        <v>308</v>
      </c>
      <c r="Q235" s="80"/>
      <c r="R235" s="707" t="str">
        <f>+IFERROR(VLOOKUP($A235,'[4]SEGUIMIENTO CONTRATOS 2018'!$A:$AJ,2,0)," ")</f>
        <v xml:space="preserve"> </v>
      </c>
      <c r="S235" s="707" t="str">
        <f>+IFERROR(VLOOKUP($A235,'[4]SEGUIMIENTO CONTRATOS 2018'!$A:$AJ,3,0)," ")</f>
        <v xml:space="preserve"> </v>
      </c>
      <c r="T235" s="789" t="str">
        <f>+IFERROR(VLOOKUP($A235,'[4]SEGUIMIENTO CONTRATOS 2018'!$A:$AJ,8,0)," ")</f>
        <v xml:space="preserve"> </v>
      </c>
      <c r="U235" s="707" t="str">
        <f>+IFERROR(VLOOKUP($A235,'[4]SEGUIMIENTO CONTRATOS 2018'!$A:$AJ,9,0)," ")</f>
        <v xml:space="preserve"> </v>
      </c>
      <c r="V235" s="707" t="str">
        <f>+IFERROR(VLOOKUP($A235,'[4]SEGUIMIENTO CONTRATOS 2018'!$A:$AJ,11,0)," ")</f>
        <v xml:space="preserve"> </v>
      </c>
      <c r="W235" s="790">
        <f>+IFERROR(VLOOKUP($A235,'[4]SEGUIMIENTO CONTRATOS 2018'!$A:$AJ,13,0),0)</f>
        <v>0</v>
      </c>
      <c r="X235" s="707">
        <f>+IFERROR(VLOOKUP($A235,'[4]SEGUIMIENTO CONTRATOS 2018'!$A:$AJ,14,0),0)</f>
        <v>0</v>
      </c>
      <c r="Y235" s="790">
        <f>+IFERROR(VLOOKUP($A235,'[4]SEGUIMIENTO CONTRATOS 2018'!$A:$AJ,15,0),0)</f>
        <v>0</v>
      </c>
      <c r="Z235" s="790">
        <f>+IFERROR(VLOOKUP($A235,'[4]SEGUIMIENTO CONTRATOS 2018'!$A:$AJ,15,0),0)</f>
        <v>0</v>
      </c>
      <c r="AA235" s="707" t="str">
        <f>+IFERROR(VLOOKUP($A235,'[4]SEGUIMIENTO CONTRATOS 2018'!$A:$AJ,16,0)," ")</f>
        <v xml:space="preserve"> </v>
      </c>
      <c r="AB235" s="707" t="str">
        <f>+IFERROR(VLOOKUP($A235,'[4]SEGUIMIENTO CONTRATOS 2018'!$A:$AL,38,0)," ")</f>
        <v xml:space="preserve"> </v>
      </c>
      <c r="AC235" s="707" t="str">
        <f>+IFERROR(VLOOKUP($A235,'[4]SEGUIMIENTO CONTRATOS 2018'!$A:$AJ,24,0)," ")</f>
        <v xml:space="preserve"> </v>
      </c>
      <c r="AD235" s="789" t="str">
        <f>+IFERROR(VLOOKUP($A235,'[4]SEGUIMIENTO CONTRATOS 2018'!$A:$AJ,25,0)," ")</f>
        <v xml:space="preserve"> </v>
      </c>
      <c r="AE235" s="789" t="str">
        <f>+IFERROR(VLOOKUP($A235,'[4]SEGUIMIENTO CONTRATOS 2018'!$A:$AJ,26,0)," ")</f>
        <v xml:space="preserve"> </v>
      </c>
      <c r="AF235" s="707" t="str">
        <f>+IFERROR(VLOOKUP($A235,'[4]SEGUIMIENTO CONTRATOS 2018'!$A:$AJ,30,0)," ")</f>
        <v xml:space="preserve"> </v>
      </c>
      <c r="AG235" s="707" t="str">
        <f>+IFERROR(VLOOKUP($A235,'[4]SEGUIMIENTO CONTRATOS 2018'!$A:$AJ,31,0)," ")</f>
        <v xml:space="preserve"> </v>
      </c>
    </row>
    <row r="236" spans="1:33" ht="108" customHeight="1" x14ac:dyDescent="0.25">
      <c r="A236" s="599">
        <f t="shared" si="8"/>
        <v>211</v>
      </c>
      <c r="B236" s="676" t="s">
        <v>633</v>
      </c>
      <c r="C236" s="677">
        <v>81112501</v>
      </c>
      <c r="D236" s="678" t="s">
        <v>634</v>
      </c>
      <c r="E236" s="676" t="s">
        <v>68</v>
      </c>
      <c r="F236" s="676">
        <v>1</v>
      </c>
      <c r="G236" s="679" t="s">
        <v>76</v>
      </c>
      <c r="H236" s="680">
        <v>12</v>
      </c>
      <c r="I236" s="676" t="s">
        <v>61</v>
      </c>
      <c r="J236" s="676" t="s">
        <v>66</v>
      </c>
      <c r="K236" s="676" t="s">
        <v>608</v>
      </c>
      <c r="L236" s="681"/>
      <c r="M236" s="682"/>
      <c r="N236" s="676" t="s">
        <v>51</v>
      </c>
      <c r="O236" s="676" t="s">
        <v>36</v>
      </c>
      <c r="P236" s="676" t="s">
        <v>308</v>
      </c>
      <c r="Q236" s="80"/>
      <c r="R236" s="707" t="str">
        <f>+IFERROR(VLOOKUP($A236,'[4]SEGUIMIENTO CONTRATOS 2018'!$A:$AJ,2,0)," ")</f>
        <v xml:space="preserve"> </v>
      </c>
      <c r="S236" s="707" t="str">
        <f>+IFERROR(VLOOKUP($A236,'[4]SEGUIMIENTO CONTRATOS 2018'!$A:$AJ,3,0)," ")</f>
        <v xml:space="preserve"> </v>
      </c>
      <c r="T236" s="789" t="str">
        <f>+IFERROR(VLOOKUP($A236,'[4]SEGUIMIENTO CONTRATOS 2018'!$A:$AJ,8,0)," ")</f>
        <v xml:space="preserve"> </v>
      </c>
      <c r="U236" s="707" t="str">
        <f>+IFERROR(VLOOKUP($A236,'[4]SEGUIMIENTO CONTRATOS 2018'!$A:$AJ,9,0)," ")</f>
        <v xml:space="preserve"> </v>
      </c>
      <c r="V236" s="707" t="str">
        <f>+IFERROR(VLOOKUP($A236,'[4]SEGUIMIENTO CONTRATOS 2018'!$A:$AJ,11,0)," ")</f>
        <v xml:space="preserve"> </v>
      </c>
      <c r="W236" s="790">
        <f>+IFERROR(VLOOKUP($A236,'[4]SEGUIMIENTO CONTRATOS 2018'!$A:$AJ,13,0),0)</f>
        <v>0</v>
      </c>
      <c r="X236" s="707">
        <f>+IFERROR(VLOOKUP($A236,'[4]SEGUIMIENTO CONTRATOS 2018'!$A:$AJ,14,0),0)</f>
        <v>0</v>
      </c>
      <c r="Y236" s="790">
        <f>+IFERROR(VLOOKUP($A236,'[4]SEGUIMIENTO CONTRATOS 2018'!$A:$AJ,15,0),0)</f>
        <v>0</v>
      </c>
      <c r="Z236" s="790">
        <f>+IFERROR(VLOOKUP($A236,'[4]SEGUIMIENTO CONTRATOS 2018'!$A:$AJ,15,0),0)</f>
        <v>0</v>
      </c>
      <c r="AA236" s="707" t="str">
        <f>+IFERROR(VLOOKUP($A236,'[4]SEGUIMIENTO CONTRATOS 2018'!$A:$AJ,16,0)," ")</f>
        <v xml:space="preserve"> </v>
      </c>
      <c r="AB236" s="707" t="str">
        <f>+IFERROR(VLOOKUP($A236,'[4]SEGUIMIENTO CONTRATOS 2018'!$A:$AL,38,0)," ")</f>
        <v xml:space="preserve"> </v>
      </c>
      <c r="AC236" s="707" t="str">
        <f>+IFERROR(VLOOKUP($A236,'[4]SEGUIMIENTO CONTRATOS 2018'!$A:$AJ,24,0)," ")</f>
        <v xml:space="preserve"> </v>
      </c>
      <c r="AD236" s="789" t="str">
        <f>+IFERROR(VLOOKUP($A236,'[4]SEGUIMIENTO CONTRATOS 2018'!$A:$AJ,25,0)," ")</f>
        <v xml:space="preserve"> </v>
      </c>
      <c r="AE236" s="789" t="str">
        <f>+IFERROR(VLOOKUP($A236,'[4]SEGUIMIENTO CONTRATOS 2018'!$A:$AJ,26,0)," ")</f>
        <v xml:space="preserve"> </v>
      </c>
      <c r="AF236" s="707" t="str">
        <f>+IFERROR(VLOOKUP($A236,'[4]SEGUIMIENTO CONTRATOS 2018'!$A:$AJ,30,0)," ")</f>
        <v xml:space="preserve"> </v>
      </c>
      <c r="AG236" s="707" t="str">
        <f>+IFERROR(VLOOKUP($A236,'[4]SEGUIMIENTO CONTRATOS 2018'!$A:$AJ,31,0)," ")</f>
        <v xml:space="preserve"> </v>
      </c>
    </row>
    <row r="237" spans="1:33" ht="178.9" customHeight="1" x14ac:dyDescent="0.25">
      <c r="A237" s="748">
        <f t="shared" si="8"/>
        <v>212</v>
      </c>
      <c r="B237" s="600" t="s">
        <v>301</v>
      </c>
      <c r="C237" s="687" t="s">
        <v>71</v>
      </c>
      <c r="D237" s="602" t="s">
        <v>635</v>
      </c>
      <c r="E237" s="600" t="s">
        <v>48</v>
      </c>
      <c r="F237" s="600">
        <v>1</v>
      </c>
      <c r="G237" s="683" t="s">
        <v>75</v>
      </c>
      <c r="H237" s="684" t="s">
        <v>1233</v>
      </c>
      <c r="I237" s="600" t="s">
        <v>173</v>
      </c>
      <c r="J237" s="600" t="s">
        <v>66</v>
      </c>
      <c r="K237" s="600" t="s">
        <v>608</v>
      </c>
      <c r="L237" s="605">
        <v>40000000</v>
      </c>
      <c r="M237" s="605">
        <v>40000000</v>
      </c>
      <c r="N237" s="600" t="s">
        <v>636</v>
      </c>
      <c r="O237" s="600" t="s">
        <v>36</v>
      </c>
      <c r="P237" s="600" t="s">
        <v>504</v>
      </c>
      <c r="Q237" s="80"/>
      <c r="R237" s="707" t="str">
        <f>+IFERROR(VLOOKUP($A237,'[4]SEGUIMIENTO CONTRATOS 2018'!$A:$AJ,2,0)," ")</f>
        <v xml:space="preserve"> </v>
      </c>
      <c r="S237" s="707" t="str">
        <f>+IFERROR(VLOOKUP($A237,'[4]SEGUIMIENTO CONTRATOS 2018'!$A:$AJ,3,0)," ")</f>
        <v xml:space="preserve"> </v>
      </c>
      <c r="T237" s="789" t="str">
        <f>+IFERROR(VLOOKUP($A237,'[4]SEGUIMIENTO CONTRATOS 2018'!$A:$AJ,8,0)," ")</f>
        <v xml:space="preserve"> </v>
      </c>
      <c r="U237" s="707" t="str">
        <f>+IFERROR(VLOOKUP($A237,'[4]SEGUIMIENTO CONTRATOS 2018'!$A:$AJ,9,0)," ")</f>
        <v xml:space="preserve"> </v>
      </c>
      <c r="V237" s="707" t="str">
        <f>+IFERROR(VLOOKUP($A237,'[4]SEGUIMIENTO CONTRATOS 2018'!$A:$AJ,11,0)," ")</f>
        <v xml:space="preserve"> </v>
      </c>
      <c r="W237" s="790">
        <f>+IFERROR(VLOOKUP($A237,'[4]SEGUIMIENTO CONTRATOS 2018'!$A:$AJ,13,0),0)</f>
        <v>0</v>
      </c>
      <c r="X237" s="707">
        <f>+IFERROR(VLOOKUP($A237,'[4]SEGUIMIENTO CONTRATOS 2018'!$A:$AJ,14,0),0)</f>
        <v>0</v>
      </c>
      <c r="Y237" s="790">
        <f>+IFERROR(VLOOKUP($A237,'[4]SEGUIMIENTO CONTRATOS 2018'!$A:$AJ,15,0),0)</f>
        <v>0</v>
      </c>
      <c r="Z237" s="790">
        <f>+IFERROR(VLOOKUP($A237,'[4]SEGUIMIENTO CONTRATOS 2018'!$A:$AJ,15,0),0)</f>
        <v>0</v>
      </c>
      <c r="AA237" s="707" t="str">
        <f>+IFERROR(VLOOKUP($A237,'[4]SEGUIMIENTO CONTRATOS 2018'!$A:$AJ,16,0)," ")</f>
        <v xml:space="preserve"> </v>
      </c>
      <c r="AB237" s="707" t="str">
        <f>+IFERROR(VLOOKUP($A237,'[4]SEGUIMIENTO CONTRATOS 2018'!$A:$AL,38,0)," ")</f>
        <v xml:space="preserve"> </v>
      </c>
      <c r="AC237" s="707" t="str">
        <f>+IFERROR(VLOOKUP($A237,'[4]SEGUIMIENTO CONTRATOS 2018'!$A:$AJ,24,0)," ")</f>
        <v xml:space="preserve"> </v>
      </c>
      <c r="AD237" s="789" t="str">
        <f>+IFERROR(VLOOKUP($A237,'[4]SEGUIMIENTO CONTRATOS 2018'!$A:$AJ,25,0)," ")</f>
        <v xml:space="preserve"> </v>
      </c>
      <c r="AE237" s="789" t="str">
        <f>+IFERROR(VLOOKUP($A237,'[4]SEGUIMIENTO CONTRATOS 2018'!$A:$AJ,26,0)," ")</f>
        <v xml:space="preserve"> </v>
      </c>
      <c r="AF237" s="707" t="str">
        <f>+IFERROR(VLOOKUP($A237,'[4]SEGUIMIENTO CONTRATOS 2018'!$A:$AJ,30,0)," ")</f>
        <v xml:space="preserve"> </v>
      </c>
      <c r="AG237" s="707" t="str">
        <f>+IFERROR(VLOOKUP($A237,'[4]SEGUIMIENTO CONTRATOS 2018'!$A:$AJ,31,0)," ")</f>
        <v xml:space="preserve"> </v>
      </c>
    </row>
    <row r="238" spans="1:33" s="750" customFormat="1" ht="132.75" customHeight="1" x14ac:dyDescent="0.25">
      <c r="A238" s="690">
        <f t="shared" si="8"/>
        <v>213</v>
      </c>
      <c r="B238" s="691" t="s">
        <v>523</v>
      </c>
      <c r="C238" s="692" t="s">
        <v>71</v>
      </c>
      <c r="D238" s="693" t="s">
        <v>635</v>
      </c>
      <c r="E238" s="691" t="s">
        <v>48</v>
      </c>
      <c r="F238" s="691">
        <v>1</v>
      </c>
      <c r="G238" s="694" t="s">
        <v>80</v>
      </c>
      <c r="H238" s="695" t="s">
        <v>250</v>
      </c>
      <c r="I238" s="691" t="s">
        <v>173</v>
      </c>
      <c r="J238" s="691" t="s">
        <v>66</v>
      </c>
      <c r="K238" s="691" t="s">
        <v>617</v>
      </c>
      <c r="L238" s="696">
        <v>438000000</v>
      </c>
      <c r="M238" s="696">
        <v>438000000</v>
      </c>
      <c r="N238" s="691" t="s">
        <v>636</v>
      </c>
      <c r="O238" s="691" t="s">
        <v>36</v>
      </c>
      <c r="P238" s="691" t="s">
        <v>525</v>
      </c>
      <c r="Q238" s="80"/>
      <c r="R238" s="698" t="str">
        <f>+IFERROR(VLOOKUP($A238,'[4]SEGUIMIENTO CONTRATOS 2018'!$A:$AJ,2,0)," ")</f>
        <v>151-2018</v>
      </c>
      <c r="S238" s="698" t="str">
        <f>+IFERROR(VLOOKUP($A238,'[4]SEGUIMIENTO CONTRATOS 2018'!$A:$AJ,3,0)," ")</f>
        <v>SUBATOURS S.A.S</v>
      </c>
      <c r="T238" s="751">
        <f>+IFERROR(VLOOKUP($A238,'[4]SEGUIMIENTO CONTRATOS 2018'!$A:$AJ,8,0)," ")</f>
        <v>43139</v>
      </c>
      <c r="U238" s="698" t="str">
        <f>+IFERROR(VLOOKUP($A238,'[4]SEGUIMIENTO CONTRATOS 2018'!$A:$AJ,9,0)," ")</f>
        <v>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v>
      </c>
      <c r="V238" s="698" t="str">
        <f>+IFERROR(VLOOKUP($A238,'[4]SEGUIMIENTO CONTRATOS 2018'!$A:$AJ,11,0)," ")</f>
        <v>CONTRATO DE SUMINISTRO</v>
      </c>
      <c r="W238" s="752">
        <f>+IFERROR(VLOOKUP($A238,'[4]SEGUIMIENTO CONTRATOS 2018'!$A:$AJ,13,0),0)</f>
        <v>438000000</v>
      </c>
      <c r="X238" s="698">
        <f>+IFERROR(VLOOKUP($A238,'[4]SEGUIMIENTO CONTRATOS 2018'!$A:$AJ,14,0),0)</f>
        <v>0</v>
      </c>
      <c r="Y238" s="752">
        <f>+IFERROR(VLOOKUP($A238,'[4]SEGUIMIENTO CONTRATOS 2018'!$A:$AJ,15,0),0)</f>
        <v>438000000</v>
      </c>
      <c r="Z238" s="752">
        <f>+IFERROR(VLOOKUP($A238,'[4]SEGUIMIENTO CONTRATOS 2018'!$A:$AJ,15,0),0)</f>
        <v>438000000</v>
      </c>
      <c r="AA238" s="698" t="str">
        <f>+IFERROR(VLOOKUP($A238,'[4]SEGUIMIENTO CONTRATOS 2018'!$A:$AJ,16,0)," ")</f>
        <v>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v>
      </c>
      <c r="AB238" s="698" t="str">
        <f>+IFERROR(VLOOKUP($A238,'[4]SEGUIMIENTO CONTRATOS 2018'!$A:$AL,38,0)," ")</f>
        <v>18318</v>
      </c>
      <c r="AC238" s="698" t="str">
        <f>+IFERROR(VLOOKUP($A238,'[4]SEGUIMIENTO CONTRATOS 2018'!$A:$AJ,24,0)," ")</f>
        <v>Hasta el 28 de Diciembre de 2018, de conformidad con lo estipulado por el Acuerdo Marco de Precios de Colombia Compra Eficiente.</v>
      </c>
      <c r="AD238" s="751">
        <f>+IFERROR(VLOOKUP($A238,'[4]SEGUIMIENTO CONTRATOS 2018'!$A:$AJ,25,0)," ")</f>
        <v>43139</v>
      </c>
      <c r="AE238" s="751">
        <f>+IFERROR(VLOOKUP($A238,'[4]SEGUIMIENTO CONTRATOS 2018'!$A:$AJ,26,0)," ")</f>
        <v>43462</v>
      </c>
      <c r="AF238" s="698" t="str">
        <f>+IFERROR(VLOOKUP($A238,'[4]SEGUIMIENTO CONTRATOS 2018'!$A:$AJ,30,0)," ")</f>
        <v>DIANA MARCELA GOMEZ ANZOLA</v>
      </c>
      <c r="AG238" s="698" t="str">
        <f>+IFERROR(VLOOKUP($A238,'[4]SEGUIMIENTO CONTRATOS 2018'!$A:$AJ,31,0)," ")</f>
        <v>GRUPO DE GESTION HUMANA</v>
      </c>
    </row>
    <row r="239" spans="1:33" ht="145.15" customHeight="1" x14ac:dyDescent="0.25">
      <c r="A239" s="690">
        <f t="shared" si="8"/>
        <v>214</v>
      </c>
      <c r="B239" s="691" t="s">
        <v>264</v>
      </c>
      <c r="C239" s="692">
        <v>80101706</v>
      </c>
      <c r="D239" s="693" t="s">
        <v>648</v>
      </c>
      <c r="E239" s="691" t="s">
        <v>68</v>
      </c>
      <c r="F239" s="691">
        <v>1</v>
      </c>
      <c r="G239" s="694" t="s">
        <v>73</v>
      </c>
      <c r="H239" s="695" t="s">
        <v>206</v>
      </c>
      <c r="I239" s="691" t="s">
        <v>61</v>
      </c>
      <c r="J239" s="691" t="s">
        <v>66</v>
      </c>
      <c r="K239" s="691" t="s">
        <v>608</v>
      </c>
      <c r="L239" s="696">
        <v>36000000</v>
      </c>
      <c r="M239" s="696">
        <v>36000000</v>
      </c>
      <c r="N239" s="691" t="s">
        <v>51</v>
      </c>
      <c r="O239" s="691" t="s">
        <v>649</v>
      </c>
      <c r="P239" s="691" t="s">
        <v>650</v>
      </c>
      <c r="Q239" s="80"/>
      <c r="R239" s="698" t="str">
        <f>+IFERROR(VLOOKUP($A239,'[4]SEGUIMIENTO CONTRATOS 2018'!$A:$AJ,2,0)," ")</f>
        <v>131-2018</v>
      </c>
      <c r="S239" s="698" t="str">
        <f>+IFERROR(VLOOKUP($A239,'[4]SEGUIMIENTO CONTRATOS 2018'!$A:$AJ,3,0)," ")</f>
        <v>NATALIA CARRILLO MOLINA</v>
      </c>
      <c r="T239" s="751">
        <f>+IFERROR(VLOOKUP($A239,'[4]SEGUIMIENTO CONTRATOS 2018'!$A:$AJ,8,0)," ")</f>
        <v>43123</v>
      </c>
      <c r="U239" s="698" t="str">
        <f>+IFERROR(VLOOKUP($A239,'[4]SEGUIMIENTO CONTRATOS 2018'!$A:$AJ,9,0)," ")</f>
        <v>Prestar servicios profesionales a Función Pública, para apoyar en la organización de la logistica, realización y ejecución de los eventos que requiera la entidad.</v>
      </c>
      <c r="V239" s="698" t="str">
        <f>+IFERROR(VLOOKUP($A239,'[4]SEGUIMIENTO CONTRATOS 2018'!$A:$AJ,11,0)," ")</f>
        <v>PRESTACION DE SERVICIOS PROFESIONALES</v>
      </c>
      <c r="W239" s="752">
        <f>+IFERROR(VLOOKUP($A239,'[4]SEGUIMIENTO CONTRATOS 2018'!$A:$AJ,13,0),0)</f>
        <v>36000000</v>
      </c>
      <c r="X239" s="698">
        <f>+IFERROR(VLOOKUP($A239,'[4]SEGUIMIENTO CONTRATOS 2018'!$A:$AJ,14,0),0)</f>
        <v>0</v>
      </c>
      <c r="Y239" s="752">
        <f>+IFERROR(VLOOKUP($A239,'[4]SEGUIMIENTO CONTRATOS 2018'!$A:$AJ,15,0),0)</f>
        <v>36000000</v>
      </c>
      <c r="Z239" s="752">
        <f>+IFERROR(VLOOKUP($A239,'[4]SEGUIMIENTO CONTRATOS 2018'!$A:$AJ,15,0),0)</f>
        <v>36000000</v>
      </c>
      <c r="AA239" s="698" t="str">
        <f>+IFERROR(VLOOKUP($A239,'[4]SEGUIMIENTO CONTRATOS 2018'!$A:$AJ,16,0)," ")</f>
        <v>Ocho (8) mensualidades vencidas, cada una por valor de CUATRO MILLONES QUINIENTOS MIL PESOS ($4´500.000) M/CTE.</v>
      </c>
      <c r="AB239" s="698" t="str">
        <f>+IFERROR(VLOOKUP($A239,'[4]SEGUIMIENTO CONTRATOS 2018'!$A:$AL,38,0)," ")</f>
        <v>18218</v>
      </c>
      <c r="AC239" s="698" t="str">
        <f>+IFERROR(VLOOKUP($A239,'[4]SEGUIMIENTO CONTRATOS 2018'!$A:$AJ,24,0)," ")</f>
        <v>Ocho (8) meses, contado a partir del perfeccionamiento del mismo y registro presupuestal.</v>
      </c>
      <c r="AD239" s="751">
        <f>+IFERROR(VLOOKUP($A239,'[4]SEGUIMIENTO CONTRATOS 2018'!$A:$AJ,25,0)," ")</f>
        <v>43126</v>
      </c>
      <c r="AE239" s="751">
        <f>+IFERROR(VLOOKUP($A239,'[4]SEGUIMIENTO CONTRATOS 2018'!$A:$AJ,26,0)," ")</f>
        <v>43368</v>
      </c>
      <c r="AF239" s="698" t="str">
        <f>+IFERROR(VLOOKUP($A239,'[4]SEGUIMIENTO CONTRATOS 2018'!$A:$AJ,30,0)," ")</f>
        <v>JULIAN MAURICIO MARTINEZ ALVARADO</v>
      </c>
      <c r="AG239" s="698" t="str">
        <f>+IFERROR(VLOOKUP($A239,'[4]SEGUIMIENTO CONTRATOS 2018'!$A:$AJ,31,0)," ")</f>
        <v xml:space="preserve">GRUPO DE GESTION ADMINISTRATIVA </v>
      </c>
    </row>
    <row r="240" spans="1:33" ht="118.5" customHeight="1" x14ac:dyDescent="0.25">
      <c r="A240" s="748">
        <f t="shared" si="8"/>
        <v>215</v>
      </c>
      <c r="B240" s="700" t="s">
        <v>492</v>
      </c>
      <c r="C240" s="701">
        <v>43232703</v>
      </c>
      <c r="D240" s="702" t="s">
        <v>653</v>
      </c>
      <c r="E240" s="700" t="s">
        <v>654</v>
      </c>
      <c r="F240" s="700">
        <v>1</v>
      </c>
      <c r="G240" s="703" t="s">
        <v>80</v>
      </c>
      <c r="H240" s="704" t="s">
        <v>194</v>
      </c>
      <c r="I240" s="685" t="s">
        <v>55</v>
      </c>
      <c r="J240" s="700" t="s">
        <v>66</v>
      </c>
      <c r="K240" s="700" t="s">
        <v>627</v>
      </c>
      <c r="L240" s="637">
        <v>18000000</v>
      </c>
      <c r="M240" s="637">
        <v>18000000</v>
      </c>
      <c r="N240" s="700" t="s">
        <v>51</v>
      </c>
      <c r="O240" s="700" t="s">
        <v>36</v>
      </c>
      <c r="P240" s="700" t="s">
        <v>308</v>
      </c>
      <c r="Q240" s="80"/>
      <c r="R240" s="707" t="str">
        <f>+IFERROR(VLOOKUP($A240,'[4]SEGUIMIENTO CONTRATOS 2018'!$A:$AJ,2,0)," ")</f>
        <v xml:space="preserve"> </v>
      </c>
      <c r="S240" s="707" t="str">
        <f>+IFERROR(VLOOKUP($A240,'[4]SEGUIMIENTO CONTRATOS 2018'!$A:$AJ,3,0)," ")</f>
        <v xml:space="preserve"> </v>
      </c>
      <c r="T240" s="789" t="str">
        <f>+IFERROR(VLOOKUP($A240,'[4]SEGUIMIENTO CONTRATOS 2018'!$A:$AJ,8,0)," ")</f>
        <v xml:space="preserve"> </v>
      </c>
      <c r="U240" s="707" t="str">
        <f>+IFERROR(VLOOKUP($A240,'[4]SEGUIMIENTO CONTRATOS 2018'!$A:$AJ,9,0)," ")</f>
        <v xml:space="preserve"> </v>
      </c>
      <c r="V240" s="707" t="str">
        <f>+IFERROR(VLOOKUP($A240,'[4]SEGUIMIENTO CONTRATOS 2018'!$A:$AJ,11,0)," ")</f>
        <v xml:space="preserve"> </v>
      </c>
      <c r="W240" s="790">
        <f>+IFERROR(VLOOKUP($A240,'[4]SEGUIMIENTO CONTRATOS 2018'!$A:$AJ,13,0),0)</f>
        <v>0</v>
      </c>
      <c r="X240" s="707">
        <f>+IFERROR(VLOOKUP($A240,'[4]SEGUIMIENTO CONTRATOS 2018'!$A:$AJ,14,0),0)</f>
        <v>0</v>
      </c>
      <c r="Y240" s="790">
        <f>+IFERROR(VLOOKUP($A240,'[4]SEGUIMIENTO CONTRATOS 2018'!$A:$AJ,15,0),0)</f>
        <v>0</v>
      </c>
      <c r="Z240" s="790">
        <f>+IFERROR(VLOOKUP($A240,'[4]SEGUIMIENTO CONTRATOS 2018'!$A:$AJ,15,0),0)</f>
        <v>0</v>
      </c>
      <c r="AA240" s="707" t="str">
        <f>+IFERROR(VLOOKUP($A240,'[4]SEGUIMIENTO CONTRATOS 2018'!$A:$AJ,16,0)," ")</f>
        <v xml:space="preserve"> </v>
      </c>
      <c r="AB240" s="707" t="str">
        <f>+IFERROR(VLOOKUP($A240,'[4]SEGUIMIENTO CONTRATOS 2018'!$A:$AL,38,0)," ")</f>
        <v xml:space="preserve"> </v>
      </c>
      <c r="AC240" s="707" t="str">
        <f>+IFERROR(VLOOKUP($A240,'[4]SEGUIMIENTO CONTRATOS 2018'!$A:$AJ,24,0)," ")</f>
        <v xml:space="preserve"> </v>
      </c>
      <c r="AD240" s="789" t="str">
        <f>+IFERROR(VLOOKUP($A240,'[4]SEGUIMIENTO CONTRATOS 2018'!$A:$AJ,25,0)," ")</f>
        <v xml:space="preserve"> </v>
      </c>
      <c r="AE240" s="789" t="str">
        <f>+IFERROR(VLOOKUP($A240,'[4]SEGUIMIENTO CONTRATOS 2018'!$A:$AJ,26,0)," ")</f>
        <v xml:space="preserve"> </v>
      </c>
      <c r="AF240" s="707" t="str">
        <f>+IFERROR(VLOOKUP($A240,'[4]SEGUIMIENTO CONTRATOS 2018'!$A:$AJ,30,0)," ")</f>
        <v xml:space="preserve"> </v>
      </c>
      <c r="AG240" s="707" t="str">
        <f>+IFERROR(VLOOKUP($A240,'[4]SEGUIMIENTO CONTRATOS 2018'!$A:$AJ,31,0)," ")</f>
        <v xml:space="preserve"> </v>
      </c>
    </row>
    <row r="241" spans="1:33" ht="145.15" customHeight="1" x14ac:dyDescent="0.25">
      <c r="A241" s="690">
        <f t="shared" si="8"/>
        <v>216</v>
      </c>
      <c r="B241" s="691" t="s">
        <v>301</v>
      </c>
      <c r="C241" s="691">
        <v>80101706</v>
      </c>
      <c r="D241" s="693" t="s">
        <v>658</v>
      </c>
      <c r="E241" s="691" t="s">
        <v>59</v>
      </c>
      <c r="F241" s="691">
        <v>1</v>
      </c>
      <c r="G241" s="694" t="s">
        <v>659</v>
      </c>
      <c r="H241" s="695" t="s">
        <v>206</v>
      </c>
      <c r="I241" s="691" t="s">
        <v>61</v>
      </c>
      <c r="J241" s="691" t="s">
        <v>66</v>
      </c>
      <c r="K241" s="691" t="s">
        <v>608</v>
      </c>
      <c r="L241" s="696">
        <f>5953000*8</f>
        <v>47624000</v>
      </c>
      <c r="M241" s="696">
        <f>5953000*8</f>
        <v>47624000</v>
      </c>
      <c r="N241" s="691" t="s">
        <v>660</v>
      </c>
      <c r="O241" s="691" t="s">
        <v>36</v>
      </c>
      <c r="P241" s="691" t="s">
        <v>504</v>
      </c>
      <c r="Q241" s="80"/>
      <c r="R241" s="698" t="str">
        <f>+IFERROR(VLOOKUP($A241,'[4]SEGUIMIENTO CONTRATOS 2018'!$A:$AJ,2,0)," ")</f>
        <v>134-2018</v>
      </c>
      <c r="S241" s="698" t="str">
        <f>+IFERROR(VLOOKUP($A241,'[4]SEGUIMIENTO CONTRATOS 2018'!$A:$AJ,3,0)," ")</f>
        <v>SILVIA LUCIA FORERO CASTAÑEDA</v>
      </c>
      <c r="T241" s="751">
        <f>+IFERROR(VLOOKUP($A241,'[4]SEGUIMIENTO CONTRATOS 2018'!$A:$AJ,8,0)," ")</f>
        <v>43124</v>
      </c>
      <c r="U241" s="698" t="str">
        <f>+IFERROR(VLOOKUP($A241,'[4]SEGUIMIENTO CONTRATOS 2018'!$A:$AJ,9,0)," ")</f>
        <v>Prestar servicios profesionales en la Subdirección de Función Pública, para apoyar en la revisión y consolidación de los resultados de las políticas a cargo de la entidad, así como en la elaboración de los documentos resultantes de las mismas.</v>
      </c>
      <c r="V241" s="698" t="str">
        <f>+IFERROR(VLOOKUP($A241,'[4]SEGUIMIENTO CONTRATOS 2018'!$A:$AJ,11,0)," ")</f>
        <v>PRESTACION DE SERVICIOS PROFESIONALES</v>
      </c>
      <c r="W241" s="752">
        <f>+IFERROR(VLOOKUP($A241,'[4]SEGUIMIENTO CONTRATOS 2018'!$A:$AJ,13,0),0)</f>
        <v>47624000</v>
      </c>
      <c r="X241" s="698">
        <f>+IFERROR(VLOOKUP($A241,'[4]SEGUIMIENTO CONTRATOS 2018'!$A:$AJ,14,0),0)</f>
        <v>0</v>
      </c>
      <c r="Y241" s="752">
        <f>+IFERROR(VLOOKUP($A241,'[4]SEGUIMIENTO CONTRATOS 2018'!$A:$AJ,15,0),0)</f>
        <v>47624000</v>
      </c>
      <c r="Z241" s="752">
        <f>+IFERROR(VLOOKUP($A241,'[4]SEGUIMIENTO CONTRATOS 2018'!$A:$AJ,15,0),0)</f>
        <v>47624000</v>
      </c>
      <c r="AA241" s="698" t="str">
        <f>+IFERROR(VLOOKUP($A241,'[4]SEGUIMIENTO CONTRATOS 2018'!$A:$AJ,16,0)," ")</f>
        <v>Ocho (8) mensualidades vencidas, cada una por valor de CINCO MILLONES NOVECIENTOS CINCUENTA Y TRES MIL PESOS ($5’953.000) M/CTE</v>
      </c>
      <c r="AB241" s="698" t="str">
        <f>+IFERROR(VLOOKUP($A241,'[4]SEGUIMIENTO CONTRATOS 2018'!$A:$AL,38,0)," ")</f>
        <v>17918</v>
      </c>
      <c r="AC241" s="698" t="str">
        <f>+IFERROR(VLOOKUP($A241,'[4]SEGUIMIENTO CONTRATOS 2018'!$A:$AJ,24,0)," ")</f>
        <v>Ocho (8) meses, contado a partir del perfeccionamiento del mismo y registro presupuestal.</v>
      </c>
      <c r="AD241" s="751">
        <f>+IFERROR(VLOOKUP($A241,'[4]SEGUIMIENTO CONTRATOS 2018'!$A:$AJ,25,0)," ")</f>
        <v>43126</v>
      </c>
      <c r="AE241" s="751">
        <f>+IFERROR(VLOOKUP($A241,'[4]SEGUIMIENTO CONTRATOS 2018'!$A:$AJ,26,0)," ")</f>
        <v>43368</v>
      </c>
      <c r="AF241" s="698" t="str">
        <f>+IFERROR(VLOOKUP($A241,'[4]SEGUIMIENTO CONTRATOS 2018'!$A:$AJ,30,0)," ")</f>
        <v>FERNANDO AUGUSTO MEDINA GUTIERREZ</v>
      </c>
      <c r="AG241" s="698" t="str">
        <f>+IFERROR(VLOOKUP($A241,'[4]SEGUIMIENTO CONTRATOS 2018'!$A:$AJ,31,0)," ")</f>
        <v>SUBDIRECCIÓN</v>
      </c>
    </row>
    <row r="242" spans="1:33" ht="145.15" customHeight="1" x14ac:dyDescent="0.25">
      <c r="A242" s="690">
        <f t="shared" si="8"/>
        <v>217</v>
      </c>
      <c r="B242" s="691" t="s">
        <v>531</v>
      </c>
      <c r="C242" s="692">
        <v>80101706</v>
      </c>
      <c r="D242" s="693" t="s">
        <v>532</v>
      </c>
      <c r="E242" s="691" t="s">
        <v>48</v>
      </c>
      <c r="F242" s="691">
        <v>1</v>
      </c>
      <c r="G242" s="694" t="s">
        <v>73</v>
      </c>
      <c r="H242" s="695" t="s">
        <v>663</v>
      </c>
      <c r="I242" s="691" t="s">
        <v>61</v>
      </c>
      <c r="J242" s="691" t="s">
        <v>66</v>
      </c>
      <c r="K242" s="691" t="s">
        <v>475</v>
      </c>
      <c r="L242" s="696">
        <v>33075000</v>
      </c>
      <c r="M242" s="697">
        <v>33075000</v>
      </c>
      <c r="N242" s="691" t="s">
        <v>51</v>
      </c>
      <c r="O242" s="691" t="s">
        <v>36</v>
      </c>
      <c r="P242" s="691" t="s">
        <v>533</v>
      </c>
      <c r="Q242" s="80"/>
      <c r="R242" s="698" t="str">
        <f>+IFERROR(VLOOKUP($A242,'[4]SEGUIMIENTO CONTRATOS 2018'!$A:$AJ,2,0)," ")</f>
        <v>146-2018</v>
      </c>
      <c r="S242" s="698" t="str">
        <f>+IFERROR(VLOOKUP($A242,'[4]SEGUIMIENTO CONTRATOS 2018'!$A:$AJ,3,0)," ")</f>
        <v>ANA MILENA CACERES CASTRO</v>
      </c>
      <c r="T242" s="751">
        <f>+IFERROR(VLOOKUP($A242,'[4]SEGUIMIENTO CONTRATOS 2018'!$A:$AJ,8,0)," ")</f>
        <v>43126</v>
      </c>
      <c r="U242" s="698" t="str">
        <f>+IFERROR(VLOOKUP($A242,'[4]SEGUIMIENTO CONTRATOS 2018'!$A:$AJ,9,0)," ")</f>
        <v>Prestar servicios profesionales en la Dirección de Participación, Transparencia y Servicio al Ciudadano de Función Pública, para apoyar la orientación jurídica de las estrategias, instrumentos y de los proyectos normativos requeridos para la implementación de las politicas a cargo de esta dependencia.</v>
      </c>
      <c r="V242" s="698" t="str">
        <f>+IFERROR(VLOOKUP($A242,'[4]SEGUIMIENTO CONTRATOS 2018'!$A:$AJ,11,0)," ")</f>
        <v>PRESTACION DE SERVICIOS PROFESIONALES</v>
      </c>
      <c r="W242" s="752">
        <f>+IFERROR(VLOOKUP($A242,'[4]SEGUIMIENTO CONTRATOS 2018'!$A:$AJ,13,0),0)</f>
        <v>33075000</v>
      </c>
      <c r="X242" s="698">
        <f>+IFERROR(VLOOKUP($A242,'[4]SEGUIMIENTO CONTRATOS 2018'!$A:$AJ,14,0),0)</f>
        <v>0</v>
      </c>
      <c r="Y242" s="752">
        <f>+IFERROR(VLOOKUP($A242,'[4]SEGUIMIENTO CONTRATOS 2018'!$A:$AJ,15,0),0)</f>
        <v>33075000</v>
      </c>
      <c r="Z242" s="752">
        <f>+IFERROR(VLOOKUP($A242,'[4]SEGUIMIENTO CONTRATOS 2018'!$A:$AJ,15,0),0)</f>
        <v>33075000</v>
      </c>
      <c r="AA242" s="698" t="str">
        <f>+IFERROR(VLOOKUP($A242,'[4]SEGUIMIENTO CONTRATOS 2018'!$A:$AJ,16,0)," ")</f>
        <v>Cinco (5) mensualidades vencidas, cuatro (4) pagos por valor de SIETE MILLONES TRESCIENTOS CINCUENTA MIL PESOS ($7.350.000) M/CTE, y un ultimo pago por valor de TRES MILLONES SEISCIENTOS SETENTA YCINCO MIL PESOS ($3.675.000) M/CTE.</v>
      </c>
      <c r="AB242" s="698" t="str">
        <f>+IFERROR(VLOOKUP($A242,'[4]SEGUIMIENTO CONTRATOS 2018'!$A:$AL,38,0)," ")</f>
        <v>18618</v>
      </c>
      <c r="AC242" s="698" t="str">
        <f>+IFERROR(VLOOKUP($A242,'[4]SEGUIMIENTO CONTRATOS 2018'!$A:$AJ,24,0)," ")</f>
        <v>Cinco (05) meses, contado a partir del perfeccionamiento del mismo y registro presupuestal.</v>
      </c>
      <c r="AD242" s="751">
        <f>+IFERROR(VLOOKUP($A242,'[4]SEGUIMIENTO CONTRATOS 2018'!$A:$AJ,25,0)," ")</f>
        <v>43126</v>
      </c>
      <c r="AE242" s="751">
        <f>+IFERROR(VLOOKUP($A242,'[4]SEGUIMIENTO CONTRATOS 2018'!$A:$AJ,26,0)," ")</f>
        <v>43276</v>
      </c>
      <c r="AF242" s="698" t="str">
        <f>+IFERROR(VLOOKUP($A242,'[4]SEGUIMIENTO CONTRATOS 2018'!$A:$AJ,30,0)," ")</f>
        <v xml:space="preserve">LINA MARIA MONCALEANO CUELLAR </v>
      </c>
      <c r="AG242" s="698" t="str">
        <f>+IFERROR(VLOOKUP($A242,'[4]SEGUIMIENTO CONTRATOS 2018'!$A:$AJ,31,0)," ")</f>
        <v>DIRECCION DE PARTICIPACION, TRANSPARENCIA Y SERVICIO AL CIUDADANO</v>
      </c>
    </row>
    <row r="243" spans="1:33" ht="137.44999999999999" customHeight="1" x14ac:dyDescent="0.25">
      <c r="A243" s="690">
        <f t="shared" si="8"/>
        <v>218</v>
      </c>
      <c r="B243" s="691" t="s">
        <v>509</v>
      </c>
      <c r="C243" s="692">
        <v>80101706</v>
      </c>
      <c r="D243" s="693" t="s">
        <v>510</v>
      </c>
      <c r="E243" s="691" t="s">
        <v>48</v>
      </c>
      <c r="F243" s="691">
        <v>1</v>
      </c>
      <c r="G243" s="694" t="s">
        <v>73</v>
      </c>
      <c r="H243" s="695" t="s">
        <v>663</v>
      </c>
      <c r="I243" s="691" t="s">
        <v>61</v>
      </c>
      <c r="J243" s="691" t="s">
        <v>66</v>
      </c>
      <c r="K243" s="691" t="s">
        <v>495</v>
      </c>
      <c r="L243" s="696">
        <v>13648500</v>
      </c>
      <c r="M243" s="697">
        <v>13648500</v>
      </c>
      <c r="N243" s="691" t="s">
        <v>51</v>
      </c>
      <c r="O243" s="691" t="s">
        <v>36</v>
      </c>
      <c r="P243" s="691" t="s">
        <v>504</v>
      </c>
      <c r="Q243" s="80"/>
      <c r="R243" s="698" t="str">
        <f>+IFERROR(VLOOKUP($A243,'[4]SEGUIMIENTO CONTRATOS 2018'!$A:$AJ,2,0)," ")</f>
        <v>147-2018</v>
      </c>
      <c r="S243" s="698" t="str">
        <f>+IFERROR(VLOOKUP($A243,'[4]SEGUIMIENTO CONTRATOS 2018'!$A:$AJ,3,0)," ")</f>
        <v>MELANY PAOLA FLOREZ DE LA HOZ</v>
      </c>
      <c r="T243" s="751">
        <f>+IFERROR(VLOOKUP($A243,'[4]SEGUIMIENTO CONTRATOS 2018'!$A:$AJ,8,0)," ")</f>
        <v>43126</v>
      </c>
      <c r="U243" s="698" t="str">
        <f>+IFERROR(VLOOKUP($A243,'[4]SEGUIMIENTO CONTRATOS 2018'!$A:$AJ,9,0)," ")</f>
        <v>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 la entidad.</v>
      </c>
      <c r="V243" s="698" t="str">
        <f>+IFERROR(VLOOKUP($A243,'[4]SEGUIMIENTO CONTRATOS 2018'!$A:$AJ,11,0)," ")</f>
        <v>PRESTACION DE SERVICIOS PROFESIONALES</v>
      </c>
      <c r="W243" s="752">
        <f>+IFERROR(VLOOKUP($A243,'[4]SEGUIMIENTO CONTRATOS 2018'!$A:$AJ,13,0),0)</f>
        <v>13648500</v>
      </c>
      <c r="X243" s="698">
        <f>+IFERROR(VLOOKUP($A243,'[4]SEGUIMIENTO CONTRATOS 2018'!$A:$AJ,14,0),0)</f>
        <v>0</v>
      </c>
      <c r="Y243" s="752">
        <f>+IFERROR(VLOOKUP($A243,'[4]SEGUIMIENTO CONTRATOS 2018'!$A:$AJ,15,0),0)</f>
        <v>13648500</v>
      </c>
      <c r="Z243" s="752">
        <f>+IFERROR(VLOOKUP($A243,'[4]SEGUIMIENTO CONTRATOS 2018'!$A:$AJ,15,0),0)</f>
        <v>13648500</v>
      </c>
      <c r="AA243" s="698" t="str">
        <f>+IFERROR(VLOOKUP($A243,'[4]SEGUIMIENTO CONTRATOS 2018'!$A:$AJ,16,0)," ")</f>
        <v>Cinco (5) mensualidades vencidas, cuatro (4) pagos por valor de TRES MILLONES TREINTA Y TRES MIL PESOS ($3.033.000) M/CTE, y un ultimo pago por valor de UN MILLON QUINIENTOS DIECISEIS MIL QUINIENTOS PESOS ($1.516.500) M/CTE.</v>
      </c>
      <c r="AB243" s="698" t="str">
        <f>+IFERROR(VLOOKUP($A243,'[4]SEGUIMIENTO CONTRATOS 2018'!$A:$AL,38,0)," ")</f>
        <v>18818</v>
      </c>
      <c r="AC243" s="698" t="str">
        <f>+IFERROR(VLOOKUP($A243,'[4]SEGUIMIENTO CONTRATOS 2018'!$A:$AJ,24,0)," ")</f>
        <v>Cinco (05) meses, contado a partir del perfeccionamiento del mismo y registro presupuestal.</v>
      </c>
      <c r="AD243" s="751">
        <f>+IFERROR(VLOOKUP($A243,'[4]SEGUIMIENTO CONTRATOS 2018'!$A:$AJ,25,0)," ")</f>
        <v>43126</v>
      </c>
      <c r="AE243" s="751">
        <f>+IFERROR(VLOOKUP($A243,'[4]SEGUIMIENTO CONTRATOS 2018'!$A:$AJ,26,0)," ")</f>
        <v>43276</v>
      </c>
      <c r="AF243" s="698" t="str">
        <f>+IFERROR(VLOOKUP($A243,'[4]SEGUIMIENTO CONTRATOS 2018'!$A:$AJ,30,0)," ")</f>
        <v>EDINSON GABRIEL MALAGÓN MAYORGA</v>
      </c>
      <c r="AG243" s="698" t="str">
        <f>+IFERROR(VLOOKUP($A243,'[4]SEGUIMIENTO CONTRATOS 2018'!$A:$AJ,31,0)," ")</f>
        <v>DIRECCION GENERAL</v>
      </c>
    </row>
    <row r="244" spans="1:33" ht="137.44999999999999" customHeight="1" x14ac:dyDescent="0.25">
      <c r="A244" s="748">
        <f t="shared" si="8"/>
        <v>219</v>
      </c>
      <c r="B244" s="685" t="s">
        <v>1227</v>
      </c>
      <c r="C244" s="685">
        <v>80111700</v>
      </c>
      <c r="D244" s="686" t="s">
        <v>1235</v>
      </c>
      <c r="E244" s="685" t="s">
        <v>48</v>
      </c>
      <c r="F244" s="685">
        <v>1</v>
      </c>
      <c r="G244" s="683" t="s">
        <v>79</v>
      </c>
      <c r="H244" s="684" t="s">
        <v>194</v>
      </c>
      <c r="I244" s="685" t="s">
        <v>61</v>
      </c>
      <c r="J244" s="685" t="s">
        <v>35</v>
      </c>
      <c r="K244" s="685" t="s">
        <v>441</v>
      </c>
      <c r="L244" s="637">
        <v>260000000</v>
      </c>
      <c r="M244" s="638">
        <v>260000000</v>
      </c>
      <c r="N244" s="685" t="s">
        <v>51</v>
      </c>
      <c r="O244" s="685" t="s">
        <v>36</v>
      </c>
      <c r="P244" s="685" t="s">
        <v>319</v>
      </c>
      <c r="Q244" s="80"/>
      <c r="R244" s="707" t="str">
        <f>+IFERROR(VLOOKUP($A244,'[4]SEGUIMIENTO CONTRATOS 2018'!$A:$AJ,2,0)," ")</f>
        <v xml:space="preserve"> </v>
      </c>
      <c r="S244" s="707" t="str">
        <f>+IFERROR(VLOOKUP($A244,'[4]SEGUIMIENTO CONTRATOS 2018'!$A:$AJ,3,0)," ")</f>
        <v xml:space="preserve"> </v>
      </c>
      <c r="T244" s="789" t="str">
        <f>+IFERROR(VLOOKUP($A244,'[4]SEGUIMIENTO CONTRATOS 2018'!$A:$AJ,8,0)," ")</f>
        <v xml:space="preserve"> </v>
      </c>
      <c r="U244" s="707" t="str">
        <f>+IFERROR(VLOOKUP($A244,'[4]SEGUIMIENTO CONTRATOS 2018'!$A:$AJ,9,0)," ")</f>
        <v xml:space="preserve"> </v>
      </c>
      <c r="V244" s="707" t="str">
        <f>+IFERROR(VLOOKUP($A244,'[4]SEGUIMIENTO CONTRATOS 2018'!$A:$AJ,11,0)," ")</f>
        <v xml:space="preserve"> </v>
      </c>
      <c r="W244" s="790">
        <f>+IFERROR(VLOOKUP($A244,'[4]SEGUIMIENTO CONTRATOS 2018'!$A:$AJ,13,0),0)</f>
        <v>0</v>
      </c>
      <c r="X244" s="707">
        <f>+IFERROR(VLOOKUP($A244,'[4]SEGUIMIENTO CONTRATOS 2018'!$A:$AJ,14,0),0)</f>
        <v>0</v>
      </c>
      <c r="Y244" s="790">
        <f>+IFERROR(VLOOKUP($A244,'[4]SEGUIMIENTO CONTRATOS 2018'!$A:$AJ,15,0),0)</f>
        <v>0</v>
      </c>
      <c r="Z244" s="790">
        <f>+IFERROR(VLOOKUP($A244,'[4]SEGUIMIENTO CONTRATOS 2018'!$A:$AJ,15,0),0)</f>
        <v>0</v>
      </c>
      <c r="AA244" s="707" t="str">
        <f>+IFERROR(VLOOKUP($A244,'[4]SEGUIMIENTO CONTRATOS 2018'!$A:$AJ,16,0)," ")</f>
        <v xml:space="preserve"> </v>
      </c>
      <c r="AB244" s="707" t="str">
        <f>+IFERROR(VLOOKUP($A244,'[4]SEGUIMIENTO CONTRATOS 2018'!$A:$AL,38,0)," ")</f>
        <v xml:space="preserve"> </v>
      </c>
      <c r="AC244" s="707" t="str">
        <f>+IFERROR(VLOOKUP($A244,'[4]SEGUIMIENTO CONTRATOS 2018'!$A:$AJ,24,0)," ")</f>
        <v xml:space="preserve"> </v>
      </c>
      <c r="AD244" s="789" t="str">
        <f>+IFERROR(VLOOKUP($A244,'[4]SEGUIMIENTO CONTRATOS 2018'!$A:$AJ,25,0)," ")</f>
        <v xml:space="preserve"> </v>
      </c>
      <c r="AE244" s="789" t="str">
        <f>+IFERROR(VLOOKUP($A244,'[4]SEGUIMIENTO CONTRATOS 2018'!$A:$AJ,26,0)," ")</f>
        <v xml:space="preserve"> </v>
      </c>
      <c r="AF244" s="707" t="str">
        <f>+IFERROR(VLOOKUP($A244,'[4]SEGUIMIENTO CONTRATOS 2018'!$A:$AJ,30,0)," ")</f>
        <v xml:space="preserve"> </v>
      </c>
      <c r="AG244" s="707" t="str">
        <f>+IFERROR(VLOOKUP($A244,'[4]SEGUIMIENTO CONTRATOS 2018'!$A:$AJ,31,0)," ")</f>
        <v xml:space="preserve"> </v>
      </c>
    </row>
    <row r="245" spans="1:33" ht="154.15" customHeight="1" x14ac:dyDescent="0.25">
      <c r="D245" s="656"/>
    </row>
    <row r="246" spans="1:33" ht="100.5" customHeight="1" x14ac:dyDescent="0.25">
      <c r="D246" s="656" t="s">
        <v>593</v>
      </c>
      <c r="K246" s="656" t="s">
        <v>594</v>
      </c>
    </row>
  </sheetData>
  <autoFilter ref="A19:AG244"/>
  <mergeCells count="63">
    <mergeCell ref="B2:P2"/>
    <mergeCell ref="C4:D4"/>
    <mergeCell ref="D5:E5"/>
    <mergeCell ref="I5:M9"/>
    <mergeCell ref="D6:E6"/>
    <mergeCell ref="D7:E7"/>
    <mergeCell ref="D8:E8"/>
    <mergeCell ref="D9:E9"/>
    <mergeCell ref="A96:A97"/>
    <mergeCell ref="D10:E10"/>
    <mergeCell ref="D11:E11"/>
    <mergeCell ref="I11:M15"/>
    <mergeCell ref="D12:E12"/>
    <mergeCell ref="D13:E13"/>
    <mergeCell ref="D14:E14"/>
    <mergeCell ref="D15:E15"/>
    <mergeCell ref="C17:D17"/>
    <mergeCell ref="G17:H17"/>
    <mergeCell ref="G18:H18"/>
    <mergeCell ref="A33:A34"/>
    <mergeCell ref="A42:A43"/>
    <mergeCell ref="A81:A82"/>
    <mergeCell ref="AG96:AG97"/>
    <mergeCell ref="R96:R97"/>
    <mergeCell ref="S96:S97"/>
    <mergeCell ref="T96:T97"/>
    <mergeCell ref="U96:U97"/>
    <mergeCell ref="V96:V97"/>
    <mergeCell ref="X96:X97"/>
    <mergeCell ref="AA96:AA97"/>
    <mergeCell ref="AC96:AC97"/>
    <mergeCell ref="AD96:AD97"/>
    <mergeCell ref="AE96:AE97"/>
    <mergeCell ref="AF96:AF97"/>
    <mergeCell ref="AB96:AB97"/>
    <mergeCell ref="A98:A99"/>
    <mergeCell ref="R98:R99"/>
    <mergeCell ref="S98:S99"/>
    <mergeCell ref="T98:T99"/>
    <mergeCell ref="U98:U99"/>
    <mergeCell ref="V100:V101"/>
    <mergeCell ref="X100:X101"/>
    <mergeCell ref="AA100:AA101"/>
    <mergeCell ref="AC100:AC101"/>
    <mergeCell ref="X98:X99"/>
    <mergeCell ref="AA98:AA99"/>
    <mergeCell ref="AC98:AC99"/>
    <mergeCell ref="V98:V99"/>
    <mergeCell ref="AB98:AB99"/>
    <mergeCell ref="AB100:AB101"/>
    <mergeCell ref="A100:A101"/>
    <mergeCell ref="R100:R101"/>
    <mergeCell ref="S100:S101"/>
    <mergeCell ref="T100:T101"/>
    <mergeCell ref="U100:U101"/>
    <mergeCell ref="AD100:AD101"/>
    <mergeCell ref="AE100:AE101"/>
    <mergeCell ref="AF100:AF101"/>
    <mergeCell ref="AG100:AG101"/>
    <mergeCell ref="AG98:AG99"/>
    <mergeCell ref="AD98:AD99"/>
    <mergeCell ref="AE98:AE99"/>
    <mergeCell ref="AF98:AF99"/>
  </mergeCells>
  <printOptions horizontalCentered="1"/>
  <pageMargins left="0.51181102362204722" right="0.51181102362204722" top="0.55118110236220474" bottom="0.74803149606299213" header="0.31496062992125984" footer="0.31496062992125984"/>
  <pageSetup paperSize="14" scale="22" orientation="landscape" r:id="rId1"/>
  <headerFooter>
    <oddFooter>&amp;C&amp;22Página &amp;P&amp;R&amp;22 2018-01-04_PAA_2018</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[4]LISTAS!#REF!</xm:f>
          </x14:formula1>
          <xm:sqref>AG43 AG100</xm:sqref>
        </x14:dataValidation>
        <x14:dataValidation type="list" allowBlank="1" showInputMessage="1" showErrorMessage="1">
          <x14:formula1>
            <xm:f>[1]LISTAS!#REF!</xm:f>
          </x14:formula1>
          <xm:sqref>AG96 AG98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Hoja1</vt:lpstr>
      <vt:lpstr>DISTRIBUCION PRESUP. 2018</vt:lpstr>
      <vt:lpstr>CAJA MENOR 2018</vt:lpstr>
      <vt:lpstr>SEGUIMIENTO CONTRATOS 2018 (2)</vt:lpstr>
      <vt:lpstr>PLAN NECES DESPURADO 2-01-2018</vt:lpstr>
      <vt:lpstr>traslados (2)</vt:lpstr>
      <vt:lpstr>PAA-PRESUP 19-02- 2018</vt:lpstr>
      <vt:lpstr>PAA -19-02-2018</vt:lpstr>
      <vt:lpstr>'PAA -19-02-2018'!Área_de_impresión</vt:lpstr>
      <vt:lpstr>'PAA-PRESUP 19-02- 2018'!Área_de_impresión</vt:lpstr>
      <vt:lpstr>'SEGUIMIENTO CONTRATOS 2018 (2)'!Área_de_impresión</vt:lpstr>
      <vt:lpstr>'PAA -19-02-2018'!Títulos_a_imprimir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2018-01-26T00:59:35Z</cp:lastPrinted>
  <dcterms:created xsi:type="dcterms:W3CDTF">2015-12-14T22:18:47Z</dcterms:created>
  <dcterms:modified xsi:type="dcterms:W3CDTF">2018-03-01T20:20:52Z</dcterms:modified>
</cp:coreProperties>
</file>