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0" windowWidth="28800" windowHeight="11895" tabRatio="624" firstSheet="3" activeTab="6"/>
  </bookViews>
  <sheets>
    <sheet name="Hoja1" sheetId="156" r:id="rId1"/>
    <sheet name="DISTRIBUCION PRESUP. 2018" sheetId="161" r:id="rId2"/>
    <sheet name="PLAN NECES DESPURADO 2-01-2018" sheetId="158" r:id="rId3"/>
    <sheet name="traslados (2)" sheetId="142" r:id="rId4"/>
    <sheet name="CAJA MENOR 2018" sheetId="126" r:id="rId5"/>
    <sheet name="PAA-PRESUP 23-07-2018" sheetId="164" r:id="rId6"/>
    <sheet name="PAA -28-2018" sheetId="172" r:id="rId7"/>
  </sheets>
  <externalReferences>
    <externalReference r:id="rId8"/>
    <externalReference r:id="rId9"/>
    <externalReference r:id="rId10"/>
    <externalReference r:id="rId11"/>
    <externalReference r:id="rId12"/>
  </externalReferences>
  <definedNames>
    <definedName name="_xlnm._FilterDatabase" localSheetId="4" hidden="1">'CAJA MENOR 2018'!#REF!</definedName>
    <definedName name="_xlnm._FilterDatabase" localSheetId="6" hidden="1">'PAA -28-2018'!$A$19:$AG$341</definedName>
    <definedName name="_xlnm._FilterDatabase" localSheetId="5" hidden="1">'PAA-PRESUP 23-07-2018'!$A$96:$P$110</definedName>
    <definedName name="_xlnm._FilterDatabase" localSheetId="2" hidden="1">'PLAN NECES DESPURADO 2-01-2018'!$A$19:$R$185</definedName>
    <definedName name="_xlnm.Print_Area" localSheetId="6">'PAA -28-2018'!$A$1:$P$344</definedName>
    <definedName name="_xlnm.Print_Area" localSheetId="5">'PAA-PRESUP 23-07-2018'!$A$1:$AQ$127</definedName>
    <definedName name="base_1">[1]BASE_DATOS!$A$1:$C$147</definedName>
    <definedName name="ELEMENTOS_DE_ASEO">"BASE_DATOS"</definedName>
    <definedName name="Fuente3">[2]Hoja2!$A$1:$C$207</definedName>
    <definedName name="JUAN" localSheetId="4">#REF!</definedName>
    <definedName name="JUAN" localSheetId="6">#REF!</definedName>
    <definedName name="JUAN" localSheetId="5">#REF!</definedName>
    <definedName name="JUAN" localSheetId="3">#REF!</definedName>
    <definedName name="JUAN">#REF!</definedName>
    <definedName name="julian" localSheetId="6">#REF!</definedName>
    <definedName name="julian" localSheetId="5">#REF!</definedName>
    <definedName name="julian">#REF!</definedName>
    <definedName name="MAO">'[3]PLAN COMPRAS_2003'!$A$4:$D$382</definedName>
    <definedName name="MOA">'[3]PLAN COMPRAS_2003'!$A$4:$D$382</definedName>
    <definedName name="RUTH" localSheetId="6">#REF!</definedName>
    <definedName name="RUTH" localSheetId="5">#REF!</definedName>
    <definedName name="RUTH">#REF!</definedName>
    <definedName name="_xlnm.Print_Titles" localSheetId="6">'PAA -28-2018'!$19:$19</definedName>
  </definedNames>
  <calcPr calcId="145621"/>
</workbook>
</file>

<file path=xl/calcChain.xml><?xml version="1.0" encoding="utf-8"?>
<calcChain xmlns="http://schemas.openxmlformats.org/spreadsheetml/2006/main">
  <c r="A340" i="172" l="1"/>
  <c r="L338" i="172" l="1"/>
  <c r="L337" i="172"/>
  <c r="L336" i="172"/>
  <c r="L335" i="172"/>
  <c r="L334" i="172"/>
  <c r="L333" i="172"/>
  <c r="L332" i="172"/>
  <c r="L331" i="172"/>
  <c r="L18" i="172"/>
  <c r="L323" i="172"/>
  <c r="A323" i="172"/>
  <c r="L322" i="172"/>
  <c r="L321" i="172"/>
  <c r="L318" i="172"/>
  <c r="L317" i="172"/>
  <c r="A315" i="172"/>
  <c r="A316" i="172" s="1"/>
  <c r="A317" i="172" s="1"/>
  <c r="A318" i="172" s="1"/>
  <c r="A319" i="172" s="1"/>
  <c r="L313" i="172"/>
  <c r="L312" i="172"/>
  <c r="L311" i="172"/>
  <c r="L310" i="172"/>
  <c r="L309" i="172"/>
  <c r="L308" i="172"/>
  <c r="M300" i="172"/>
  <c r="M299" i="172"/>
  <c r="M298" i="172"/>
  <c r="M297" i="172"/>
  <c r="M296" i="172"/>
  <c r="M295" i="172"/>
  <c r="M294" i="172"/>
  <c r="M293" i="172"/>
  <c r="M292" i="172"/>
  <c r="M291" i="172"/>
  <c r="M290" i="172"/>
  <c r="M289" i="172"/>
  <c r="M288" i="172"/>
  <c r="M287" i="172"/>
  <c r="M286" i="172"/>
  <c r="M285" i="172"/>
  <c r="M284" i="172"/>
  <c r="M283" i="172"/>
  <c r="M282" i="172"/>
  <c r="M281" i="172"/>
  <c r="M280" i="172"/>
  <c r="M279" i="172"/>
  <c r="M278" i="172"/>
  <c r="M277" i="172"/>
  <c r="M276" i="172"/>
  <c r="M275" i="172"/>
  <c r="M274" i="172"/>
  <c r="M273" i="172"/>
  <c r="M272" i="172"/>
  <c r="A271" i="172"/>
  <c r="A272" i="172" s="1"/>
  <c r="A273" i="172" s="1"/>
  <c r="A274" i="172" s="1"/>
  <c r="A275" i="172" s="1"/>
  <c r="A276" i="172" s="1"/>
  <c r="A277" i="172" s="1"/>
  <c r="A278" i="172" s="1"/>
  <c r="A279" i="172" s="1"/>
  <c r="A280" i="172" s="1"/>
  <c r="A281" i="172" s="1"/>
  <c r="A282" i="172" s="1"/>
  <c r="A283" i="172" s="1"/>
  <c r="A284" i="172" s="1"/>
  <c r="A285" i="172" s="1"/>
  <c r="A286" i="172" s="1"/>
  <c r="A287" i="172" s="1"/>
  <c r="A288" i="172" s="1"/>
  <c r="A289" i="172" s="1"/>
  <c r="A290" i="172" s="1"/>
  <c r="A291" i="172" s="1"/>
  <c r="A292" i="172" s="1"/>
  <c r="A293" i="172" s="1"/>
  <c r="A294" i="172" s="1"/>
  <c r="A295" i="172" s="1"/>
  <c r="A296" i="172" s="1"/>
  <c r="A297" i="172" s="1"/>
  <c r="A298" i="172" s="1"/>
  <c r="A299" i="172" s="1"/>
  <c r="A300" i="172" s="1"/>
  <c r="A301" i="172" s="1"/>
  <c r="A303" i="172" s="1"/>
  <c r="A304" i="172" s="1"/>
  <c r="A305" i="172" s="1"/>
  <c r="A306" i="172" s="1"/>
  <c r="A307" i="172" s="1"/>
  <c r="A308" i="172" s="1"/>
  <c r="Y263" i="172"/>
  <c r="Z263" i="172" s="1"/>
  <c r="M262" i="172"/>
  <c r="L262" i="172"/>
  <c r="M243" i="172"/>
  <c r="M242" i="172"/>
  <c r="M241" i="172"/>
  <c r="M240" i="172"/>
  <c r="M239" i="172"/>
  <c r="M238" i="172"/>
  <c r="M237" i="172"/>
  <c r="M236" i="172"/>
  <c r="M235" i="172"/>
  <c r="M234" i="172"/>
  <c r="M233" i="172"/>
  <c r="M232" i="172"/>
  <c r="M231" i="172"/>
  <c r="M230" i="172"/>
  <c r="M229" i="172"/>
  <c r="M228" i="172"/>
  <c r="M227" i="172"/>
  <c r="M226" i="172"/>
  <c r="M225" i="172"/>
  <c r="M224" i="172"/>
  <c r="M223" i="172"/>
  <c r="M222" i="172"/>
  <c r="M221" i="172"/>
  <c r="M220" i="172"/>
  <c r="M219" i="172"/>
  <c r="M218" i="172"/>
  <c r="M217" i="172"/>
  <c r="M216" i="172"/>
  <c r="M215" i="172"/>
  <c r="M214" i="172"/>
  <c r="M213" i="172"/>
  <c r="M212" i="172"/>
  <c r="M211" i="172"/>
  <c r="M210" i="172"/>
  <c r="M209" i="172"/>
  <c r="Y208" i="172"/>
  <c r="Z208" i="172" s="1"/>
  <c r="M208" i="172"/>
  <c r="M207" i="172"/>
  <c r="M205" i="172"/>
  <c r="M204" i="172"/>
  <c r="M203" i="172"/>
  <c r="M202" i="172"/>
  <c r="M201" i="172"/>
  <c r="M200" i="172"/>
  <c r="M199" i="172"/>
  <c r="M198" i="172"/>
  <c r="M197" i="172"/>
  <c r="M196" i="172"/>
  <c r="M195" i="172"/>
  <c r="M194" i="172"/>
  <c r="M193" i="172"/>
  <c r="M192" i="172"/>
  <c r="M191" i="172"/>
  <c r="M189" i="172"/>
  <c r="M188" i="172"/>
  <c r="M187" i="172"/>
  <c r="M186" i="172"/>
  <c r="M185" i="172"/>
  <c r="M184" i="172"/>
  <c r="M183" i="172"/>
  <c r="M182" i="172"/>
  <c r="M181" i="172"/>
  <c r="M180" i="172"/>
  <c r="M179" i="172"/>
  <c r="M178" i="172"/>
  <c r="M177" i="172"/>
  <c r="Y176" i="172"/>
  <c r="Z176" i="172" s="1"/>
  <c r="M176" i="172"/>
  <c r="M175" i="172"/>
  <c r="M174" i="172"/>
  <c r="M172" i="172"/>
  <c r="M171" i="172"/>
  <c r="M170" i="172"/>
  <c r="M169" i="172"/>
  <c r="M168" i="172"/>
  <c r="M167" i="172"/>
  <c r="M166" i="172"/>
  <c r="Y162" i="172"/>
  <c r="Z162" i="172" s="1"/>
  <c r="Y161" i="172"/>
  <c r="Z161" i="172" s="1"/>
  <c r="Y160" i="172"/>
  <c r="Z160" i="172" s="1"/>
  <c r="Y159" i="172"/>
  <c r="Z159" i="172" s="1"/>
  <c r="Y158" i="172"/>
  <c r="Z158" i="172" s="1"/>
  <c r="Y157" i="172"/>
  <c r="Z157" i="172" s="1"/>
  <c r="Y156" i="172"/>
  <c r="Z156" i="172" s="1"/>
  <c r="Y155" i="172"/>
  <c r="Z155" i="172" s="1"/>
  <c r="A155" i="172"/>
  <c r="A156" i="172" s="1"/>
  <c r="A157" i="172" s="1"/>
  <c r="A158" i="172" s="1"/>
  <c r="A159" i="172" s="1"/>
  <c r="A160" i="172" s="1"/>
  <c r="A161" i="172" s="1"/>
  <c r="A162" i="172" s="1"/>
  <c r="A163" i="172" s="1"/>
  <c r="A164" i="172" s="1"/>
  <c r="A165" i="172" s="1"/>
  <c r="A166" i="172" s="1"/>
  <c r="A167" i="172" s="1"/>
  <c r="A168" i="172" s="1"/>
  <c r="A169" i="172" s="1"/>
  <c r="A170" i="172" s="1"/>
  <c r="A171" i="172" s="1"/>
  <c r="A172" i="172" s="1"/>
  <c r="A173" i="172" s="1"/>
  <c r="A174" i="172" s="1"/>
  <c r="A175" i="172" s="1"/>
  <c r="A176" i="172" s="1"/>
  <c r="A177" i="172" s="1"/>
  <c r="A178" i="172" s="1"/>
  <c r="A179" i="172" s="1"/>
  <c r="A180" i="172" s="1"/>
  <c r="A181" i="172" s="1"/>
  <c r="A182" i="172" s="1"/>
  <c r="A183" i="172" s="1"/>
  <c r="A184" i="172" s="1"/>
  <c r="A185" i="172" s="1"/>
  <c r="A186" i="172" s="1"/>
  <c r="A187" i="172" s="1"/>
  <c r="A188" i="172" s="1"/>
  <c r="A189" i="172" s="1"/>
  <c r="A190" i="172" s="1"/>
  <c r="A191" i="172" s="1"/>
  <c r="A192" i="172" s="1"/>
  <c r="A193" i="172" s="1"/>
  <c r="A194" i="172" s="1"/>
  <c r="A195" i="172" s="1"/>
  <c r="A196" i="172" s="1"/>
  <c r="A197" i="172" s="1"/>
  <c r="A198" i="172" s="1"/>
  <c r="A199" i="172" s="1"/>
  <c r="A200" i="172" s="1"/>
  <c r="A201" i="172" s="1"/>
  <c r="A202" i="172" s="1"/>
  <c r="A203" i="172" s="1"/>
  <c r="A204" i="172" s="1"/>
  <c r="A205" i="172" s="1"/>
  <c r="A206" i="172" s="1"/>
  <c r="A207" i="172" s="1"/>
  <c r="A208" i="172" s="1"/>
  <c r="A209" i="172" s="1"/>
  <c r="A210" i="172" s="1"/>
  <c r="A211" i="172" s="1"/>
  <c r="A212" i="172" s="1"/>
  <c r="A213" i="172" s="1"/>
  <c r="A214" i="172" s="1"/>
  <c r="A215" i="172" s="1"/>
  <c r="A216" i="172" s="1"/>
  <c r="A217" i="172" s="1"/>
  <c r="A218" i="172" s="1"/>
  <c r="A219" i="172" s="1"/>
  <c r="A220" i="172" s="1"/>
  <c r="A221" i="172" s="1"/>
  <c r="A222" i="172" s="1"/>
  <c r="A223" i="172" s="1"/>
  <c r="A224" i="172" s="1"/>
  <c r="A225" i="172" s="1"/>
  <c r="A226" i="172" s="1"/>
  <c r="A227" i="172" s="1"/>
  <c r="A228" i="172" s="1"/>
  <c r="A229" i="172" s="1"/>
  <c r="A230" i="172" s="1"/>
  <c r="A231" i="172" s="1"/>
  <c r="A232" i="172" s="1"/>
  <c r="A233" i="172" s="1"/>
  <c r="A234" i="172" s="1"/>
  <c r="A235" i="172" s="1"/>
  <c r="A236" i="172" s="1"/>
  <c r="A237" i="172" s="1"/>
  <c r="A238" i="172" s="1"/>
  <c r="A239" i="172" s="1"/>
  <c r="A240" i="172" s="1"/>
  <c r="A241" i="172" s="1"/>
  <c r="A242" i="172" s="1"/>
  <c r="A243" i="172" s="1"/>
  <c r="A244" i="172" s="1"/>
  <c r="A245" i="172" s="1"/>
  <c r="A246" i="172" s="1"/>
  <c r="A247" i="172" s="1"/>
  <c r="A248" i="172" s="1"/>
  <c r="A249" i="172" s="1"/>
  <c r="A250" i="172" s="1"/>
  <c r="A251" i="172" s="1"/>
  <c r="A252" i="172" s="1"/>
  <c r="A253" i="172" s="1"/>
  <c r="A254" i="172" s="1"/>
  <c r="A255" i="172" s="1"/>
  <c r="A256" i="172" s="1"/>
  <c r="A257" i="172" s="1"/>
  <c r="A258" i="172" s="1"/>
  <c r="A259" i="172" s="1"/>
  <c r="A260" i="172" s="1"/>
  <c r="A261" i="172" s="1"/>
  <c r="A262" i="172" s="1"/>
  <c r="A263" i="172" s="1"/>
  <c r="A265" i="172" s="1"/>
  <c r="A266" i="172" s="1"/>
  <c r="A267" i="172" s="1"/>
  <c r="Y154" i="172"/>
  <c r="Z154" i="172" s="1"/>
  <c r="Y151" i="172"/>
  <c r="Z151" i="172" s="1"/>
  <c r="Y150" i="172"/>
  <c r="Z150" i="172" s="1"/>
  <c r="Y149" i="172"/>
  <c r="Z149" i="172" s="1"/>
  <c r="Y148" i="172"/>
  <c r="Z148" i="172" s="1"/>
  <c r="A148" i="172"/>
  <c r="A149" i="172" s="1"/>
  <c r="A150" i="172" s="1"/>
  <c r="A151" i="172" s="1"/>
  <c r="A152" i="172" s="1"/>
  <c r="A153" i="172" s="1"/>
  <c r="Y146" i="172"/>
  <c r="Z146" i="172" s="1"/>
  <c r="Y145" i="172"/>
  <c r="Z145" i="172" s="1"/>
  <c r="Y143" i="172"/>
  <c r="Z143" i="172" s="1"/>
  <c r="Y142" i="172"/>
  <c r="Z142" i="172" s="1"/>
  <c r="Y140" i="172"/>
  <c r="Z140" i="172" s="1"/>
  <c r="Y138" i="172"/>
  <c r="Z138" i="172" s="1"/>
  <c r="Y137" i="172"/>
  <c r="Z137" i="172" s="1"/>
  <c r="Y136" i="172"/>
  <c r="Z136" i="172" s="1"/>
  <c r="Y133" i="172"/>
  <c r="Z133" i="172" s="1"/>
  <c r="Y131" i="172"/>
  <c r="Z131" i="172" s="1"/>
  <c r="Y129" i="172"/>
  <c r="Z129" i="172" s="1"/>
  <c r="Y127" i="172"/>
  <c r="Z127" i="172" s="1"/>
  <c r="Y126" i="172"/>
  <c r="Z126" i="172" s="1"/>
  <c r="Y125" i="172"/>
  <c r="Z125" i="172" s="1"/>
  <c r="Y117" i="172"/>
  <c r="Z117" i="172" s="1"/>
  <c r="A117" i="172"/>
  <c r="A118" i="172" s="1"/>
  <c r="A119" i="172" s="1"/>
  <c r="A120" i="172" s="1"/>
  <c r="A121" i="172" s="1"/>
  <c r="A122" i="172" s="1"/>
  <c r="A123" i="172" s="1"/>
  <c r="A124" i="172" s="1"/>
  <c r="A125" i="172" s="1"/>
  <c r="A126" i="172" s="1"/>
  <c r="A127" i="172" s="1"/>
  <c r="A129" i="172" s="1"/>
  <c r="A131" i="172" s="1"/>
  <c r="A133" i="172" s="1"/>
  <c r="A135" i="172" s="1"/>
  <c r="A136" i="172" s="1"/>
  <c r="A137" i="172" s="1"/>
  <c r="A138" i="172" s="1"/>
  <c r="A140" i="172" s="1"/>
  <c r="A142" i="172" s="1"/>
  <c r="A143" i="172" s="1"/>
  <c r="A145" i="172" s="1"/>
  <c r="A146" i="172" s="1"/>
  <c r="Y115" i="172"/>
  <c r="Z115" i="172" s="1"/>
  <c r="Y114" i="172"/>
  <c r="Z113" i="172"/>
  <c r="Z112" i="172"/>
  <c r="Y112" i="172"/>
  <c r="Y111" i="172"/>
  <c r="Z111" i="172" s="1"/>
  <c r="Z110" i="172"/>
  <c r="Y110" i="172"/>
  <c r="Y109" i="172"/>
  <c r="Z109" i="172" s="1"/>
  <c r="Y106" i="172"/>
  <c r="Z106" i="172" s="1"/>
  <c r="Z105" i="172"/>
  <c r="Y104" i="172"/>
  <c r="Z104" i="172" s="1"/>
  <c r="Y103" i="172"/>
  <c r="Z103" i="172" s="1"/>
  <c r="Y102" i="172"/>
  <c r="Z102" i="172" s="1"/>
  <c r="Y101" i="172"/>
  <c r="Z101" i="172" s="1"/>
  <c r="Y99" i="172"/>
  <c r="Z99" i="172" s="1"/>
  <c r="Y95" i="172"/>
  <c r="Z95" i="172" s="1"/>
  <c r="Z94" i="172"/>
  <c r="Y89" i="172"/>
  <c r="Z89" i="172" s="1"/>
  <c r="Y87" i="172"/>
  <c r="Z87" i="172" s="1"/>
  <c r="Y83" i="172"/>
  <c r="Z83" i="172" s="1"/>
  <c r="Y45" i="172"/>
  <c r="Z45" i="172" s="1"/>
  <c r="A37" i="172"/>
  <c r="A38" i="172" s="1"/>
  <c r="A39" i="172" s="1"/>
  <c r="A40" i="172" s="1"/>
  <c r="A42" i="172" s="1"/>
  <c r="A43" i="172" s="1"/>
  <c r="A44" i="172" s="1"/>
  <c r="A46" i="172" s="1"/>
  <c r="A47" i="172" s="1"/>
  <c r="A48" i="172" s="1"/>
  <c r="A49" i="172" s="1"/>
  <c r="A50" i="172" s="1"/>
  <c r="A51" i="172" s="1"/>
  <c r="A52" i="172" s="1"/>
  <c r="A54" i="172" s="1"/>
  <c r="A55" i="172" s="1"/>
  <c r="A56" i="172" s="1"/>
  <c r="A57" i="172" s="1"/>
  <c r="A58" i="172" s="1"/>
  <c r="A59" i="172" s="1"/>
  <c r="A60" i="172" s="1"/>
  <c r="A61" i="172" s="1"/>
  <c r="A62" i="172" s="1"/>
  <c r="A63" i="172" s="1"/>
  <c r="A64" i="172" s="1"/>
  <c r="A71" i="172" s="1"/>
  <c r="A72" i="172" s="1"/>
  <c r="A73" i="172" s="1"/>
  <c r="A74" i="172" s="1"/>
  <c r="A75" i="172" s="1"/>
  <c r="A76" i="172" s="1"/>
  <c r="A77" i="172" s="1"/>
  <c r="A78" i="172" s="1"/>
  <c r="A79" i="172" s="1"/>
  <c r="A80" i="172" s="1"/>
  <c r="A81" i="172" s="1"/>
  <c r="A82" i="172" s="1"/>
  <c r="A83" i="172" s="1"/>
  <c r="A84" i="172" s="1"/>
  <c r="A85" i="172" s="1"/>
  <c r="A86" i="172" s="1"/>
  <c r="A87" i="172" s="1"/>
  <c r="A89" i="172" s="1"/>
  <c r="A90" i="172" s="1"/>
  <c r="A91" i="172" s="1"/>
  <c r="A93" i="172" s="1"/>
  <c r="A94" i="172" s="1"/>
  <c r="A95" i="172" s="1"/>
  <c r="A97" i="172" s="1"/>
  <c r="A98" i="172" s="1"/>
  <c r="A99" i="172" s="1"/>
  <c r="A101" i="172" s="1"/>
  <c r="A102" i="172" s="1"/>
  <c r="A103" i="172" s="1"/>
  <c r="A104" i="172" s="1"/>
  <c r="A105" i="172" s="1"/>
  <c r="A106" i="172" s="1"/>
  <c r="A108" i="172" s="1"/>
  <c r="A109" i="172" s="1"/>
  <c r="A111" i="172" s="1"/>
  <c r="A113" i="172" s="1"/>
  <c r="A21" i="172"/>
  <c r="A22" i="172" s="1"/>
  <c r="A23" i="172" s="1"/>
  <c r="A25" i="172" s="1"/>
  <c r="A26" i="172" s="1"/>
  <c r="A27" i="172" s="1"/>
  <c r="A28" i="172" s="1"/>
  <c r="A29" i="172" s="1"/>
  <c r="A30" i="172" s="1"/>
  <c r="A31" i="172" s="1"/>
  <c r="A32" i="172" s="1"/>
  <c r="A33" i="172" s="1"/>
  <c r="A34" i="172" s="1"/>
  <c r="X18" i="172"/>
  <c r="W18" i="172"/>
  <c r="U11" i="172"/>
  <c r="T11" i="172"/>
  <c r="S11" i="172"/>
  <c r="U14" i="172"/>
  <c r="U10" i="172"/>
  <c r="U12" i="172"/>
  <c r="T10" i="172"/>
  <c r="T12" i="172"/>
  <c r="S10" i="172"/>
  <c r="U13" i="172"/>
  <c r="S12" i="172"/>
  <c r="U15" i="172"/>
  <c r="T79" i="164"/>
  <c r="T56" i="164"/>
  <c r="T49" i="164"/>
  <c r="T47" i="164"/>
  <c r="T40" i="164"/>
  <c r="T39" i="164"/>
  <c r="T38" i="164"/>
  <c r="T32" i="164"/>
  <c r="T31" i="164"/>
  <c r="U30" i="164"/>
  <c r="T30" i="164"/>
  <c r="AH78" i="164"/>
  <c r="AT63" i="164"/>
  <c r="AU60" i="164"/>
  <c r="AU61" i="164"/>
  <c r="AU62" i="164"/>
  <c r="AU59" i="164"/>
  <c r="AG104" i="164"/>
  <c r="AG105" i="164"/>
  <c r="AG102" i="164"/>
  <c r="AG107" i="164"/>
  <c r="AG108" i="164"/>
  <c r="AG106" i="164"/>
  <c r="AG50" i="164"/>
  <c r="Y103" i="164"/>
  <c r="AG103" i="164"/>
  <c r="P39" i="164"/>
  <c r="P20" i="164"/>
  <c r="W101" i="164"/>
  <c r="AG101" i="164"/>
  <c r="O42" i="164"/>
  <c r="AB109" i="164"/>
  <c r="K5" i="142"/>
  <c r="J5" i="142"/>
  <c r="AA36" i="164"/>
  <c r="P30" i="164"/>
  <c r="AG79" i="164"/>
  <c r="U79" i="164"/>
  <c r="T33" i="164"/>
  <c r="AO104" i="164"/>
  <c r="O126" i="164"/>
  <c r="AB118" i="164"/>
  <c r="AA118" i="164"/>
  <c r="AK116" i="164"/>
  <c r="AJ116" i="164"/>
  <c r="AI116" i="164"/>
  <c r="AE111" i="164"/>
  <c r="AE109" i="164"/>
  <c r="AE115" i="164"/>
  <c r="AB115" i="164"/>
  <c r="AA109" i="164"/>
  <c r="AA115" i="164"/>
  <c r="Y109" i="164"/>
  <c r="W109" i="164"/>
  <c r="V109" i="164"/>
  <c r="T109" i="164"/>
  <c r="P109" i="164"/>
  <c r="O109" i="164"/>
  <c r="N109" i="164"/>
  <c r="Q108" i="164"/>
  <c r="Z108" i="164"/>
  <c r="AC107" i="164"/>
  <c r="Q107" i="164"/>
  <c r="X107" i="164"/>
  <c r="AC106" i="164"/>
  <c r="X106" i="164"/>
  <c r="Q106" i="164"/>
  <c r="Q105" i="164"/>
  <c r="AC104" i="164"/>
  <c r="X104" i="164"/>
  <c r="Q104" i="164"/>
  <c r="Q103" i="164"/>
  <c r="AC102" i="164"/>
  <c r="X102" i="164"/>
  <c r="Q102" i="164"/>
  <c r="AC101" i="164"/>
  <c r="X101" i="164"/>
  <c r="Q101" i="164"/>
  <c r="AA99" i="164"/>
  <c r="V99" i="164"/>
  <c r="T99" i="164"/>
  <c r="Q98" i="164"/>
  <c r="Q99" i="164"/>
  <c r="P99" i="164"/>
  <c r="O99" i="164"/>
  <c r="N99" i="164"/>
  <c r="AK98" i="164"/>
  <c r="AP96" i="164"/>
  <c r="AE91" i="164"/>
  <c r="AB91" i="164"/>
  <c r="AA91" i="164"/>
  <c r="R13" i="164"/>
  <c r="T8" i="164"/>
  <c r="T90" i="164"/>
  <c r="S90" i="164"/>
  <c r="AE88" i="164"/>
  <c r="AB88" i="164"/>
  <c r="AA88" i="164"/>
  <c r="Y88" i="164"/>
  <c r="W88" i="164"/>
  <c r="V88" i="164"/>
  <c r="P88" i="164"/>
  <c r="N88" i="164"/>
  <c r="AG87" i="164"/>
  <c r="AC87" i="164"/>
  <c r="AC88" i="164"/>
  <c r="X87" i="164"/>
  <c r="Q87" i="164"/>
  <c r="Q88" i="164"/>
  <c r="AE85" i="164"/>
  <c r="AB85" i="164"/>
  <c r="AA85" i="164"/>
  <c r="Y85" i="164"/>
  <c r="W85" i="164"/>
  <c r="V85" i="164"/>
  <c r="U85" i="164"/>
  <c r="T85" i="164"/>
  <c r="S85" i="164"/>
  <c r="P85" i="164"/>
  <c r="O85" i="164"/>
  <c r="N85" i="164"/>
  <c r="M85" i="164"/>
  <c r="L85" i="164"/>
  <c r="K85" i="164"/>
  <c r="AG84" i="164"/>
  <c r="AC84" i="164"/>
  <c r="X84" i="164"/>
  <c r="Q84" i="164"/>
  <c r="AG83" i="164"/>
  <c r="AC83" i="164"/>
  <c r="X83" i="164"/>
  <c r="Q83" i="164"/>
  <c r="AG82" i="164"/>
  <c r="AC82" i="164"/>
  <c r="AC85" i="164"/>
  <c r="X82" i="164"/>
  <c r="Q82" i="164"/>
  <c r="AK81" i="164"/>
  <c r="AN80" i="164"/>
  <c r="AE80" i="164"/>
  <c r="AB80" i="164"/>
  <c r="AA80" i="164"/>
  <c r="Y80" i="164"/>
  <c r="W80" i="164"/>
  <c r="V80" i="164"/>
  <c r="T80" i="164"/>
  <c r="S80" i="164"/>
  <c r="R80" i="164"/>
  <c r="P80" i="164"/>
  <c r="O80" i="164"/>
  <c r="N80" i="164"/>
  <c r="M80" i="164"/>
  <c r="L80" i="164"/>
  <c r="K80" i="164"/>
  <c r="AC79" i="164"/>
  <c r="U80" i="164"/>
  <c r="Q79" i="164"/>
  <c r="AG78" i="164"/>
  <c r="Q78" i="164"/>
  <c r="Z78" i="164"/>
  <c r="AD78" i="164"/>
  <c r="X78" i="164"/>
  <c r="AC78" i="164"/>
  <c r="AK77" i="164"/>
  <c r="AG77" i="164"/>
  <c r="AF77" i="164"/>
  <c r="AC77" i="164"/>
  <c r="X77" i="164"/>
  <c r="Q77" i="164"/>
  <c r="AL77" i="164"/>
  <c r="AG76" i="164"/>
  <c r="AC76" i="164"/>
  <c r="X76" i="164"/>
  <c r="Q76" i="164"/>
  <c r="Z76" i="164"/>
  <c r="AD76" i="164"/>
  <c r="AK75" i="164"/>
  <c r="AN74" i="164"/>
  <c r="AE74" i="164"/>
  <c r="AB74" i="164"/>
  <c r="AA74" i="164"/>
  <c r="Y74" i="164"/>
  <c r="W74" i="164"/>
  <c r="V74" i="164"/>
  <c r="U74" i="164"/>
  <c r="T74" i="164"/>
  <c r="S74" i="164"/>
  <c r="Q73" i="164"/>
  <c r="Q74" i="164"/>
  <c r="P74" i="164"/>
  <c r="O74" i="164"/>
  <c r="N74" i="164"/>
  <c r="M74" i="164"/>
  <c r="L74" i="164"/>
  <c r="K74" i="164"/>
  <c r="AG73" i="164"/>
  <c r="AC73" i="164"/>
  <c r="X73" i="164"/>
  <c r="AG72" i="164"/>
  <c r="AC72" i="164"/>
  <c r="X72" i="164"/>
  <c r="X74" i="164"/>
  <c r="Q72" i="164"/>
  <c r="AK71" i="164"/>
  <c r="AE70" i="164"/>
  <c r="AB70" i="164"/>
  <c r="AA70" i="164"/>
  <c r="Y70" i="164"/>
  <c r="W70" i="164"/>
  <c r="V70" i="164"/>
  <c r="U70" i="164"/>
  <c r="T70" i="164"/>
  <c r="S70" i="164"/>
  <c r="P70" i="164"/>
  <c r="O70" i="164"/>
  <c r="N70" i="164"/>
  <c r="M70" i="164"/>
  <c r="L70" i="164"/>
  <c r="K70" i="164"/>
  <c r="AG69" i="164"/>
  <c r="X69" i="164"/>
  <c r="Q69" i="164"/>
  <c r="AG68" i="164"/>
  <c r="AC68" i="164"/>
  <c r="X68" i="164"/>
  <c r="Q68" i="164"/>
  <c r="AR67" i="164"/>
  <c r="AG67" i="164"/>
  <c r="AG65" i="164"/>
  <c r="AG66" i="164"/>
  <c r="AC67" i="164"/>
  <c r="Q67" i="164"/>
  <c r="X67" i="164"/>
  <c r="Q66" i="164"/>
  <c r="X66" i="164"/>
  <c r="AC66" i="164"/>
  <c r="X65" i="164"/>
  <c r="AC65" i="164"/>
  <c r="Q65" i="164"/>
  <c r="AK64" i="164"/>
  <c r="AN63" i="164"/>
  <c r="AE63" i="164"/>
  <c r="AD63" i="164"/>
  <c r="AB63" i="164"/>
  <c r="AA63" i="164"/>
  <c r="Y63" i="164"/>
  <c r="W63" i="164"/>
  <c r="P63" i="164"/>
  <c r="O63" i="164"/>
  <c r="N63" i="164"/>
  <c r="Q62" i="164"/>
  <c r="X62" i="164"/>
  <c r="AK62" i="164"/>
  <c r="AH62" i="164"/>
  <c r="AC62" i="164"/>
  <c r="AK61" i="164"/>
  <c r="AH61" i="164"/>
  <c r="AC61" i="164"/>
  <c r="X61" i="164"/>
  <c r="Q61" i="164"/>
  <c r="AU63" i="164"/>
  <c r="Q60" i="164"/>
  <c r="AR60" i="164"/>
  <c r="AK60" i="164"/>
  <c r="AH60" i="164"/>
  <c r="AC60" i="164"/>
  <c r="X60" i="164"/>
  <c r="Q59" i="164"/>
  <c r="AR59" i="164"/>
  <c r="AV59" i="164"/>
  <c r="AW59" i="164"/>
  <c r="X59" i="164"/>
  <c r="AK59" i="164"/>
  <c r="AH59" i="164"/>
  <c r="AC59" i="164"/>
  <c r="AC58" i="164"/>
  <c r="X58" i="164"/>
  <c r="AE57" i="164"/>
  <c r="AA57" i="164"/>
  <c r="AB57" i="164"/>
  <c r="Y57" i="164"/>
  <c r="W57" i="164"/>
  <c r="V57" i="164"/>
  <c r="T57" i="164"/>
  <c r="S57" i="164"/>
  <c r="R57" i="164"/>
  <c r="Q53" i="164"/>
  <c r="Q54" i="164"/>
  <c r="Q55" i="164"/>
  <c r="Q56" i="164"/>
  <c r="P57" i="164"/>
  <c r="O57" i="164"/>
  <c r="N57" i="164"/>
  <c r="M56" i="164"/>
  <c r="M57" i="164"/>
  <c r="L57" i="164"/>
  <c r="K57" i="164"/>
  <c r="AG56" i="164"/>
  <c r="AC56" i="164"/>
  <c r="U56" i="164"/>
  <c r="X56" i="164"/>
  <c r="AG55" i="164"/>
  <c r="U55" i="164"/>
  <c r="X55" i="164"/>
  <c r="Z55" i="164"/>
  <c r="AD55" i="164"/>
  <c r="AF55" i="164"/>
  <c r="AH55" i="164"/>
  <c r="AC55" i="164"/>
  <c r="AG54" i="164"/>
  <c r="AC54" i="164"/>
  <c r="U54" i="164"/>
  <c r="X54" i="164"/>
  <c r="AG53" i="164"/>
  <c r="AC53" i="164"/>
  <c r="U53" i="164"/>
  <c r="X53" i="164"/>
  <c r="AK52" i="164"/>
  <c r="AE51" i="164"/>
  <c r="AB51" i="164"/>
  <c r="AA51" i="164"/>
  <c r="Y51" i="164"/>
  <c r="V51" i="164"/>
  <c r="V22" i="164"/>
  <c r="V25" i="164"/>
  <c r="V36" i="164"/>
  <c r="V45" i="164"/>
  <c r="T51" i="164"/>
  <c r="S51" i="164"/>
  <c r="R51" i="164"/>
  <c r="O51" i="164"/>
  <c r="N51" i="164"/>
  <c r="L51" i="164"/>
  <c r="K51" i="164"/>
  <c r="AC50" i="164"/>
  <c r="U50" i="164"/>
  <c r="X50" i="164"/>
  <c r="Q50" i="164"/>
  <c r="M50" i="164"/>
  <c r="M51" i="164"/>
  <c r="AG49" i="164"/>
  <c r="AC49" i="164"/>
  <c r="U49" i="164"/>
  <c r="X49" i="164"/>
  <c r="Q49" i="164"/>
  <c r="AC48" i="164"/>
  <c r="U48" i="164"/>
  <c r="X48" i="164"/>
  <c r="W48" i="164"/>
  <c r="W51" i="164"/>
  <c r="P51" i="164"/>
  <c r="AG47" i="164"/>
  <c r="AC47" i="164"/>
  <c r="U47" i="164"/>
  <c r="X47" i="164"/>
  <c r="Q47" i="164"/>
  <c r="AK46" i="164"/>
  <c r="AE45" i="164"/>
  <c r="AB45" i="164"/>
  <c r="AA45" i="164"/>
  <c r="Y45" i="164"/>
  <c r="W45" i="164"/>
  <c r="T45" i="164"/>
  <c r="S45" i="164"/>
  <c r="R45" i="164"/>
  <c r="P45" i="164"/>
  <c r="O45" i="164"/>
  <c r="N45" i="164"/>
  <c r="M45" i="164"/>
  <c r="L45" i="164"/>
  <c r="K45" i="164"/>
  <c r="AG44" i="164"/>
  <c r="AC44" i="164"/>
  <c r="U44" i="164"/>
  <c r="X44" i="164"/>
  <c r="Q44" i="164"/>
  <c r="AG43" i="164"/>
  <c r="AC43" i="164"/>
  <c r="U43" i="164"/>
  <c r="X43" i="164"/>
  <c r="Q43" i="164"/>
  <c r="AG42" i="164"/>
  <c r="AC42" i="164"/>
  <c r="U42" i="164"/>
  <c r="X42" i="164"/>
  <c r="Q42" i="164"/>
  <c r="AG41" i="164"/>
  <c r="Q41" i="164"/>
  <c r="U41" i="164"/>
  <c r="X41" i="164"/>
  <c r="AC41" i="164"/>
  <c r="AG40" i="164"/>
  <c r="AC40" i="164"/>
  <c r="U40" i="164"/>
  <c r="X40" i="164"/>
  <c r="Q40" i="164"/>
  <c r="AG39" i="164"/>
  <c r="AC39" i="164"/>
  <c r="U39" i="164"/>
  <c r="Q39" i="164"/>
  <c r="AG38" i="164"/>
  <c r="AC38" i="164"/>
  <c r="U38" i="164"/>
  <c r="X38" i="164"/>
  <c r="Q38" i="164"/>
  <c r="AK37" i="164"/>
  <c r="AJ36" i="164"/>
  <c r="AE36" i="164"/>
  <c r="AA22" i="164"/>
  <c r="AA25" i="164"/>
  <c r="Y36" i="164"/>
  <c r="W36" i="164"/>
  <c r="T36" i="164"/>
  <c r="S36" i="164"/>
  <c r="R36" i="164"/>
  <c r="O36" i="164"/>
  <c r="N36" i="164"/>
  <c r="M36" i="164"/>
  <c r="L36" i="164"/>
  <c r="K36" i="164"/>
  <c r="AG35" i="164"/>
  <c r="AC35" i="164"/>
  <c r="U35" i="164"/>
  <c r="X35" i="164"/>
  <c r="Q35" i="164"/>
  <c r="AG34" i="164"/>
  <c r="AC34" i="164"/>
  <c r="U34" i="164"/>
  <c r="X34" i="164"/>
  <c r="Q34" i="164"/>
  <c r="AG33" i="164"/>
  <c r="AC33" i="164"/>
  <c r="U33" i="164"/>
  <c r="X33" i="164"/>
  <c r="Q33" i="164"/>
  <c r="AG32" i="164"/>
  <c r="AC32" i="164"/>
  <c r="U32" i="164"/>
  <c r="X32" i="164"/>
  <c r="Q32" i="164"/>
  <c r="AG31" i="164"/>
  <c r="AC31" i="164"/>
  <c r="U31" i="164"/>
  <c r="X31" i="164"/>
  <c r="Q31" i="164"/>
  <c r="AG30" i="164"/>
  <c r="AC30" i="164"/>
  <c r="X30" i="164"/>
  <c r="Q30" i="164"/>
  <c r="P36" i="164"/>
  <c r="AG29" i="164"/>
  <c r="AC29" i="164"/>
  <c r="X29" i="164"/>
  <c r="Q29" i="164"/>
  <c r="X28" i="164"/>
  <c r="Q28" i="164"/>
  <c r="Z28" i="164"/>
  <c r="AD28" i="164"/>
  <c r="AG27" i="164"/>
  <c r="AC27" i="164"/>
  <c r="X27" i="164"/>
  <c r="Q27" i="164"/>
  <c r="AQ26" i="164"/>
  <c r="AK26" i="164"/>
  <c r="AE25" i="164"/>
  <c r="AB25" i="164"/>
  <c r="Y25" i="164"/>
  <c r="W25" i="164"/>
  <c r="U25" i="164"/>
  <c r="T25" i="164"/>
  <c r="S25" i="164"/>
  <c r="P25" i="164"/>
  <c r="O25" i="164"/>
  <c r="N25" i="164"/>
  <c r="M25" i="164"/>
  <c r="L25" i="164"/>
  <c r="K25" i="164"/>
  <c r="AG24" i="164"/>
  <c r="Q24" i="164"/>
  <c r="Z24" i="164"/>
  <c r="AD24" i="164"/>
  <c r="X24" i="164"/>
  <c r="AC24" i="164"/>
  <c r="X23" i="164"/>
  <c r="AG23" i="164"/>
  <c r="AC23" i="164"/>
  <c r="Q23" i="164"/>
  <c r="AE22" i="164"/>
  <c r="AB22" i="164"/>
  <c r="Y22" i="164"/>
  <c r="W22" i="164"/>
  <c r="T22" i="164"/>
  <c r="S22" i="164"/>
  <c r="S13" i="164"/>
  <c r="S91" i="164"/>
  <c r="R22" i="164"/>
  <c r="O22" i="164"/>
  <c r="N22" i="164"/>
  <c r="M22" i="164"/>
  <c r="L22" i="164"/>
  <c r="K22" i="164"/>
  <c r="AG21" i="164"/>
  <c r="AC21" i="164"/>
  <c r="Q21" i="164"/>
  <c r="U21" i="164"/>
  <c r="X21" i="164"/>
  <c r="AG20" i="164"/>
  <c r="AC20" i="164"/>
  <c r="U20" i="164"/>
  <c r="X20" i="164"/>
  <c r="Q20" i="164"/>
  <c r="AG19" i="164"/>
  <c r="AC19" i="164"/>
  <c r="U19" i="164"/>
  <c r="X19" i="164"/>
  <c r="P19" i="164"/>
  <c r="P22" i="164"/>
  <c r="AG18" i="164"/>
  <c r="AC18" i="164"/>
  <c r="U18" i="164"/>
  <c r="X18" i="164"/>
  <c r="Q18" i="164"/>
  <c r="X17" i="164"/>
  <c r="AK14" i="164"/>
  <c r="AC14" i="164"/>
  <c r="AC13" i="164"/>
  <c r="AC91" i="164"/>
  <c r="Y13" i="164"/>
  <c r="X13" i="164"/>
  <c r="X91" i="164"/>
  <c r="W13" i="164"/>
  <c r="W91" i="164"/>
  <c r="V13" i="164"/>
  <c r="V91" i="164"/>
  <c r="U13" i="164"/>
  <c r="U91" i="164"/>
  <c r="T13" i="164"/>
  <c r="T91" i="164"/>
  <c r="P13" i="164"/>
  <c r="P91" i="164"/>
  <c r="O13" i="164"/>
  <c r="O91" i="164"/>
  <c r="N13" i="164"/>
  <c r="AG12" i="164"/>
  <c r="AL12" i="164"/>
  <c r="Q12" i="164"/>
  <c r="Z12" i="164"/>
  <c r="AD12" i="164"/>
  <c r="AG11" i="164"/>
  <c r="AL11" i="164"/>
  <c r="Q11" i="164"/>
  <c r="AD11" i="164"/>
  <c r="AF11" i="164"/>
  <c r="AG10" i="164"/>
  <c r="AL10" i="164"/>
  <c r="Q10" i="164"/>
  <c r="Z10" i="164"/>
  <c r="AB8" i="164"/>
  <c r="AB9" i="164"/>
  <c r="Y8" i="164"/>
  <c r="T9" i="164"/>
  <c r="AE8" i="164"/>
  <c r="AE90" i="164"/>
  <c r="AK90" i="164" s="1"/>
  <c r="W8" i="164"/>
  <c r="W9" i="164"/>
  <c r="V8" i="164"/>
  <c r="V9" i="164"/>
  <c r="U8" i="164"/>
  <c r="U90" i="164"/>
  <c r="P8" i="164"/>
  <c r="P90" i="164"/>
  <c r="O8" i="164"/>
  <c r="O90" i="164"/>
  <c r="N8" i="164"/>
  <c r="N90" i="164"/>
  <c r="AG7" i="164"/>
  <c r="AD7" i="164"/>
  <c r="AF7" i="164"/>
  <c r="AC7" i="164"/>
  <c r="X7" i="164"/>
  <c r="Q7" i="164"/>
  <c r="AG6" i="164"/>
  <c r="Q6" i="164"/>
  <c r="X6" i="164"/>
  <c r="AP4" i="164"/>
  <c r="B3" i="164"/>
  <c r="X79" i="164"/>
  <c r="Z83" i="164"/>
  <c r="Q85" i="164"/>
  <c r="Z82" i="164"/>
  <c r="AD82" i="164"/>
  <c r="X85" i="164"/>
  <c r="AK7" i="164"/>
  <c r="Y91" i="164"/>
  <c r="AL60" i="164"/>
  <c r="V60" i="164"/>
  <c r="Z60" i="164"/>
  <c r="O9" i="164"/>
  <c r="Q48" i="164"/>
  <c r="V59" i="164"/>
  <c r="V62" i="164"/>
  <c r="Z84" i="164"/>
  <c r="AD84" i="164"/>
  <c r="AK84" i="164"/>
  <c r="AD108" i="164"/>
  <c r="AF108" i="164"/>
  <c r="AH108" i="164"/>
  <c r="S67" i="156"/>
  <c r="R67" i="156"/>
  <c r="Q67" i="156"/>
  <c r="O67" i="156"/>
  <c r="N67" i="156"/>
  <c r="M67" i="156"/>
  <c r="L67" i="156"/>
  <c r="K67" i="156"/>
  <c r="J67" i="156"/>
  <c r="T66" i="156"/>
  <c r="T67" i="156"/>
  <c r="P66" i="156"/>
  <c r="P65" i="156"/>
  <c r="P64" i="156"/>
  <c r="P63" i="156"/>
  <c r="T61" i="156"/>
  <c r="S61" i="156"/>
  <c r="R61" i="156"/>
  <c r="O61" i="156"/>
  <c r="N61" i="156"/>
  <c r="M61" i="156"/>
  <c r="L61" i="156"/>
  <c r="K61" i="156"/>
  <c r="J61" i="156"/>
  <c r="P60" i="156"/>
  <c r="P61" i="156"/>
  <c r="P59" i="156"/>
  <c r="T57" i="156"/>
  <c r="S57" i="156"/>
  <c r="R57" i="156"/>
  <c r="O57" i="156"/>
  <c r="N57" i="156"/>
  <c r="M57" i="156"/>
  <c r="L57" i="156"/>
  <c r="K57" i="156"/>
  <c r="J57" i="156"/>
  <c r="P56" i="156"/>
  <c r="P55" i="156"/>
  <c r="P54" i="156"/>
  <c r="P53" i="156"/>
  <c r="P52" i="156"/>
  <c r="O50" i="156"/>
  <c r="N50" i="156"/>
  <c r="M50" i="156"/>
  <c r="P49" i="156"/>
  <c r="P48" i="156"/>
  <c r="P47" i="156"/>
  <c r="P46" i="156"/>
  <c r="S44" i="156"/>
  <c r="R44" i="156"/>
  <c r="Q44" i="156"/>
  <c r="O44" i="156"/>
  <c r="N44" i="156"/>
  <c r="M44" i="156"/>
  <c r="K44" i="156"/>
  <c r="J44" i="156"/>
  <c r="T43" i="156"/>
  <c r="P43" i="156"/>
  <c r="L43" i="156"/>
  <c r="L44" i="156"/>
  <c r="T42" i="156"/>
  <c r="P42" i="156"/>
  <c r="T41" i="156"/>
  <c r="P41" i="156"/>
  <c r="T40" i="156"/>
  <c r="P40" i="156"/>
  <c r="S38" i="156"/>
  <c r="R38" i="156"/>
  <c r="Q38" i="156"/>
  <c r="O38" i="156"/>
  <c r="N38" i="156"/>
  <c r="M38" i="156"/>
  <c r="K38" i="156"/>
  <c r="J38" i="156"/>
  <c r="T37" i="156"/>
  <c r="P37" i="156"/>
  <c r="L37" i="156"/>
  <c r="L38" i="156"/>
  <c r="T36" i="156"/>
  <c r="P36" i="156"/>
  <c r="T35" i="156"/>
  <c r="P35" i="156"/>
  <c r="T34" i="156"/>
  <c r="P34" i="156"/>
  <c r="S32" i="156"/>
  <c r="R32" i="156"/>
  <c r="Q32" i="156"/>
  <c r="O32" i="156"/>
  <c r="N32" i="156"/>
  <c r="M32" i="156"/>
  <c r="L32" i="156"/>
  <c r="K32" i="156"/>
  <c r="J32" i="156"/>
  <c r="T31" i="156"/>
  <c r="P31" i="156"/>
  <c r="T30" i="156"/>
  <c r="P30" i="156"/>
  <c r="T29" i="156"/>
  <c r="P29" i="156"/>
  <c r="T28" i="156"/>
  <c r="P28" i="156"/>
  <c r="T27" i="156"/>
  <c r="P27" i="156"/>
  <c r="T26" i="156"/>
  <c r="P26" i="156"/>
  <c r="T25" i="156"/>
  <c r="P25" i="156"/>
  <c r="P32" i="156"/>
  <c r="S23" i="156"/>
  <c r="R23" i="156"/>
  <c r="Q23" i="156"/>
  <c r="O23" i="156"/>
  <c r="N23" i="156"/>
  <c r="M23" i="156"/>
  <c r="L23" i="156"/>
  <c r="K23" i="156"/>
  <c r="J23" i="156"/>
  <c r="T22" i="156"/>
  <c r="P22" i="156"/>
  <c r="T21" i="156"/>
  <c r="P21" i="156"/>
  <c r="T20" i="156"/>
  <c r="P20" i="156"/>
  <c r="T19" i="156"/>
  <c r="P19" i="156"/>
  <c r="T18" i="156"/>
  <c r="P18" i="156"/>
  <c r="T17" i="156"/>
  <c r="P17" i="156"/>
  <c r="P16" i="156"/>
  <c r="P15" i="156"/>
  <c r="P14" i="156"/>
  <c r="T12" i="156"/>
  <c r="S12" i="156"/>
  <c r="R12" i="156"/>
  <c r="O12" i="156"/>
  <c r="N12" i="156"/>
  <c r="M12" i="156"/>
  <c r="L12" i="156"/>
  <c r="K12" i="156"/>
  <c r="J12" i="156"/>
  <c r="P11" i="156"/>
  <c r="P10" i="156"/>
  <c r="S9" i="156"/>
  <c r="R9" i="156"/>
  <c r="Q9" i="156"/>
  <c r="O9" i="156"/>
  <c r="N9" i="156"/>
  <c r="M9" i="156"/>
  <c r="L9" i="156"/>
  <c r="K9" i="156"/>
  <c r="J9" i="156"/>
  <c r="T8" i="156"/>
  <c r="P8" i="156"/>
  <c r="T7" i="156"/>
  <c r="P7" i="156"/>
  <c r="T6" i="156"/>
  <c r="P6" i="156"/>
  <c r="T5" i="156"/>
  <c r="P5" i="156"/>
  <c r="J87" i="161"/>
  <c r="J84" i="161"/>
  <c r="J79" i="161"/>
  <c r="J73" i="161"/>
  <c r="J69" i="161"/>
  <c r="J62" i="161"/>
  <c r="J56" i="161"/>
  <c r="J50" i="161"/>
  <c r="J44" i="161"/>
  <c r="J35" i="161"/>
  <c r="J24" i="161"/>
  <c r="J21" i="161"/>
  <c r="J12" i="161"/>
  <c r="J90" i="161"/>
  <c r="J7" i="161"/>
  <c r="J89" i="161"/>
  <c r="AA18" i="158"/>
  <c r="Z18" i="158"/>
  <c r="Y18" i="158"/>
  <c r="X18" i="158"/>
  <c r="M18" i="158"/>
  <c r="L84" i="158"/>
  <c r="L83" i="158"/>
  <c r="L82" i="158"/>
  <c r="A21" i="158"/>
  <c r="A22" i="158"/>
  <c r="A23" i="158"/>
  <c r="A24" i="158"/>
  <c r="A25" i="158"/>
  <c r="A26" i="158"/>
  <c r="A27" i="158"/>
  <c r="A28" i="158"/>
  <c r="A29" i="158"/>
  <c r="A30" i="158"/>
  <c r="A31" i="158"/>
  <c r="A32" i="158"/>
  <c r="A33" i="158"/>
  <c r="A34" i="158"/>
  <c r="A35" i="158"/>
  <c r="A36" i="158"/>
  <c r="A37" i="158"/>
  <c r="A38" i="158"/>
  <c r="A39" i="158"/>
  <c r="A40" i="158"/>
  <c r="A41" i="158"/>
  <c r="A42" i="158"/>
  <c r="A43" i="158"/>
  <c r="A44" i="158"/>
  <c r="A45" i="158"/>
  <c r="A46" i="158"/>
  <c r="A47" i="158"/>
  <c r="A48" i="158"/>
  <c r="A49" i="158"/>
  <c r="A50" i="158"/>
  <c r="A51" i="158"/>
  <c r="A52" i="158"/>
  <c r="A53" i="158"/>
  <c r="A54" i="158"/>
  <c r="A55" i="158"/>
  <c r="A56" i="158"/>
  <c r="A57" i="158"/>
  <c r="A58" i="158"/>
  <c r="A59" i="158"/>
  <c r="A60" i="158"/>
  <c r="A61" i="158"/>
  <c r="A62" i="158"/>
  <c r="A63" i="158"/>
  <c r="A64" i="158"/>
  <c r="A65" i="158"/>
  <c r="A66" i="158"/>
  <c r="A67" i="158"/>
  <c r="A68" i="158"/>
  <c r="A69" i="158"/>
  <c r="A70" i="158"/>
  <c r="A71" i="158"/>
  <c r="A72" i="158"/>
  <c r="A73" i="158"/>
  <c r="A74" i="158"/>
  <c r="A75" i="158"/>
  <c r="A76" i="158"/>
  <c r="A77" i="158"/>
  <c r="A78" i="158"/>
  <c r="A79" i="158"/>
  <c r="A80" i="158"/>
  <c r="A81" i="158"/>
  <c r="A82" i="158"/>
  <c r="A83" i="158"/>
  <c r="A84" i="158"/>
  <c r="A85" i="158"/>
  <c r="A86" i="158"/>
  <c r="A87" i="158"/>
  <c r="A88" i="158"/>
  <c r="A89" i="158"/>
  <c r="A90" i="158"/>
  <c r="A91" i="158"/>
  <c r="A92" i="158"/>
  <c r="A93" i="158"/>
  <c r="A94" i="158"/>
  <c r="A95" i="158"/>
  <c r="A96" i="158"/>
  <c r="A97" i="158"/>
  <c r="A98" i="158"/>
  <c r="A99" i="158"/>
  <c r="A100" i="158"/>
  <c r="A101" i="158"/>
  <c r="A102" i="158"/>
  <c r="A103" i="158"/>
  <c r="A104" i="158"/>
  <c r="A105" i="158"/>
  <c r="A106" i="158"/>
  <c r="A107" i="158"/>
  <c r="A108" i="158"/>
  <c r="A109" i="158"/>
  <c r="A110" i="158"/>
  <c r="A111" i="158"/>
  <c r="A112" i="158"/>
  <c r="A113" i="158"/>
  <c r="A114" i="158"/>
  <c r="A115" i="158"/>
  <c r="A116" i="158"/>
  <c r="A117" i="158"/>
  <c r="A118" i="158"/>
  <c r="A119" i="158"/>
  <c r="A120" i="158"/>
  <c r="A121" i="158"/>
  <c r="A122" i="158"/>
  <c r="A123" i="158"/>
  <c r="A124" i="158"/>
  <c r="A125" i="158"/>
  <c r="A126" i="158"/>
  <c r="A127" i="158"/>
  <c r="A128" i="158"/>
  <c r="A129" i="158"/>
  <c r="A130" i="158"/>
  <c r="A131" i="158"/>
  <c r="A132" i="158"/>
  <c r="A133" i="158"/>
  <c r="A134" i="158"/>
  <c r="A135" i="158"/>
  <c r="A136" i="158"/>
  <c r="A137" i="158"/>
  <c r="A138" i="158"/>
  <c r="A139" i="158"/>
  <c r="A140" i="158"/>
  <c r="A141" i="158"/>
  <c r="A142" i="158"/>
  <c r="A143" i="158"/>
  <c r="A144" i="158"/>
  <c r="A145" i="158"/>
  <c r="A146" i="158"/>
  <c r="A147" i="158"/>
  <c r="A148" i="158"/>
  <c r="A149" i="158"/>
  <c r="A150" i="158"/>
  <c r="A151" i="158"/>
  <c r="A152" i="158"/>
  <c r="A153" i="158"/>
  <c r="A154" i="158"/>
  <c r="A155" i="158"/>
  <c r="A156" i="158"/>
  <c r="A157" i="158"/>
  <c r="A158" i="158"/>
  <c r="A159" i="158"/>
  <c r="A160" i="158"/>
  <c r="A161" i="158"/>
  <c r="A162" i="158"/>
  <c r="A163" i="158"/>
  <c r="A164" i="158"/>
  <c r="A165" i="158"/>
  <c r="A166" i="158"/>
  <c r="A167" i="158"/>
  <c r="A168" i="158"/>
  <c r="A169" i="158"/>
  <c r="A170" i="158"/>
  <c r="A171" i="158"/>
  <c r="A172" i="158"/>
  <c r="A173" i="158"/>
  <c r="A174" i="158"/>
  <c r="A175" i="158"/>
  <c r="A176" i="158"/>
  <c r="A177" i="158"/>
  <c r="A178" i="158"/>
  <c r="A179" i="158"/>
  <c r="A180" i="158"/>
  <c r="A181" i="158"/>
  <c r="A182" i="158"/>
  <c r="A183" i="158"/>
  <c r="A184" i="158"/>
  <c r="A185" i="158"/>
  <c r="L18" i="158"/>
  <c r="L7" i="126"/>
  <c r="Q7" i="126"/>
  <c r="L8" i="126"/>
  <c r="M8" i="126"/>
  <c r="Q8" i="126"/>
  <c r="K9" i="126"/>
  <c r="N9" i="126"/>
  <c r="O9" i="126"/>
  <c r="P9" i="126"/>
  <c r="L11" i="126"/>
  <c r="M11" i="126"/>
  <c r="Q11" i="126"/>
  <c r="L12" i="126"/>
  <c r="M12" i="126"/>
  <c r="Q12" i="126"/>
  <c r="L13" i="126"/>
  <c r="M13" i="126"/>
  <c r="Q13" i="126"/>
  <c r="L14" i="126"/>
  <c r="Q14" i="126"/>
  <c r="L15" i="126"/>
  <c r="M15" i="126"/>
  <c r="Q15" i="126"/>
  <c r="L16" i="126"/>
  <c r="M16" i="126"/>
  <c r="Q16" i="126"/>
  <c r="K17" i="126"/>
  <c r="N17" i="126"/>
  <c r="O17" i="126"/>
  <c r="P17" i="126"/>
  <c r="L19" i="126"/>
  <c r="M19" i="126"/>
  <c r="Q19" i="126"/>
  <c r="L20" i="126"/>
  <c r="M20" i="126"/>
  <c r="Q20" i="126"/>
  <c r="L21" i="126"/>
  <c r="M21" i="126"/>
  <c r="Q21" i="126"/>
  <c r="L22" i="126"/>
  <c r="M22" i="126"/>
  <c r="Q22" i="126"/>
  <c r="L23" i="126"/>
  <c r="M23" i="126"/>
  <c r="Q23" i="126"/>
  <c r="L24" i="126"/>
  <c r="M24" i="126"/>
  <c r="Q24" i="126"/>
  <c r="L25" i="126"/>
  <c r="M25" i="126"/>
  <c r="Q25" i="126"/>
  <c r="K26" i="126"/>
  <c r="N26" i="126"/>
  <c r="O26" i="126"/>
  <c r="P26" i="126"/>
  <c r="L28" i="126"/>
  <c r="M28" i="126"/>
  <c r="Q28" i="126"/>
  <c r="L29" i="126"/>
  <c r="M29" i="126"/>
  <c r="Q29" i="126"/>
  <c r="L30" i="126"/>
  <c r="M30" i="126"/>
  <c r="Q30" i="126"/>
  <c r="L31" i="126"/>
  <c r="M31" i="126"/>
  <c r="Q31" i="126"/>
  <c r="K32" i="126"/>
  <c r="N32" i="126"/>
  <c r="O32" i="126"/>
  <c r="P32" i="126"/>
  <c r="L34" i="126"/>
  <c r="M34" i="126"/>
  <c r="Q34" i="126"/>
  <c r="L35" i="126"/>
  <c r="Q35" i="126"/>
  <c r="L36" i="126"/>
  <c r="M36" i="126"/>
  <c r="Q36" i="126"/>
  <c r="L37" i="126"/>
  <c r="M37" i="126"/>
  <c r="Q37" i="126"/>
  <c r="K38" i="126"/>
  <c r="N38" i="126"/>
  <c r="O38" i="126"/>
  <c r="P38" i="126"/>
  <c r="L40" i="126"/>
  <c r="M40" i="126"/>
  <c r="M41" i="126"/>
  <c r="Q40" i="126"/>
  <c r="Q41" i="126"/>
  <c r="K41" i="126"/>
  <c r="N41" i="126"/>
  <c r="O41" i="126"/>
  <c r="P41" i="126"/>
  <c r="AG28" i="164"/>
  <c r="AC28" i="164"/>
  <c r="AB36" i="164"/>
  <c r="AA8" i="164"/>
  <c r="AA90" i="164"/>
  <c r="AC6" i="164"/>
  <c r="Z77" i="164"/>
  <c r="AG48" i="164"/>
  <c r="X109" i="164"/>
  <c r="P12" i="156"/>
  <c r="W90" i="164"/>
  <c r="Z103" i="164"/>
  <c r="AD103" i="164"/>
  <c r="Z105" i="164"/>
  <c r="AD105" i="164"/>
  <c r="Z102" i="164"/>
  <c r="Z104" i="164"/>
  <c r="AD104" i="164"/>
  <c r="AF104" i="164"/>
  <c r="AH104" i="164"/>
  <c r="Z106" i="164"/>
  <c r="Z107" i="164"/>
  <c r="Q80" i="164"/>
  <c r="Q19" i="164"/>
  <c r="V90" i="164"/>
  <c r="Z23" i="164"/>
  <c r="Z25" i="164"/>
  <c r="AC8" i="164"/>
  <c r="Z72" i="164"/>
  <c r="AD72" i="164"/>
  <c r="Q17" i="126"/>
  <c r="R69" i="156"/>
  <c r="U22" i="164"/>
  <c r="Z13" i="164"/>
  <c r="Z91" i="164"/>
  <c r="AE95" i="164"/>
  <c r="N89" i="164"/>
  <c r="Z27" i="164"/>
  <c r="AD27" i="164"/>
  <c r="AK27" i="164"/>
  <c r="Z29" i="164"/>
  <c r="AD29" i="164"/>
  <c r="AL61" i="164"/>
  <c r="Z67" i="164"/>
  <c r="AD67" i="164"/>
  <c r="AK67" i="164"/>
  <c r="Z68" i="164"/>
  <c r="AD68" i="164"/>
  <c r="AL68" i="164"/>
  <c r="AC80" i="164"/>
  <c r="AK82" i="164"/>
  <c r="AL82" i="164"/>
  <c r="P9" i="156"/>
  <c r="T23" i="156"/>
  <c r="Z62" i="164"/>
  <c r="Z85" i="164"/>
  <c r="AH85" i="164"/>
  <c r="AL7" i="164"/>
  <c r="Z41" i="164"/>
  <c r="AD41" i="164"/>
  <c r="Z69" i="164"/>
  <c r="AD69" i="164"/>
  <c r="Z101" i="164"/>
  <c r="AD101" i="164"/>
  <c r="AL101" i="164"/>
  <c r="AD106" i="164"/>
  <c r="AF106" i="164"/>
  <c r="AH106" i="164"/>
  <c r="Q9" i="126"/>
  <c r="L9" i="126"/>
  <c r="P23" i="156"/>
  <c r="P44" i="156"/>
  <c r="P9" i="164"/>
  <c r="Q94" i="164"/>
  <c r="Y89" i="164"/>
  <c r="Z53" i="164"/>
  <c r="AD53" i="164"/>
  <c r="AL62" i="164"/>
  <c r="K3" i="126"/>
  <c r="L17" i="126"/>
  <c r="T32" i="156"/>
  <c r="Q25" i="164"/>
  <c r="AD83" i="164"/>
  <c r="AL83" i="164"/>
  <c r="S89" i="164"/>
  <c r="AL104" i="164"/>
  <c r="AG109" i="164"/>
  <c r="AK104" i="164"/>
  <c r="AK76" i="164"/>
  <c r="AL76" i="164"/>
  <c r="AF27" i="164"/>
  <c r="AH27" i="164"/>
  <c r="AK53" i="164"/>
  <c r="AL53" i="164"/>
  <c r="O3" i="126"/>
  <c r="P3" i="126"/>
  <c r="M7" i="126"/>
  <c r="M9" i="126"/>
  <c r="Q38" i="126"/>
  <c r="N3" i="126"/>
  <c r="T9" i="156"/>
  <c r="S69" i="156"/>
  <c r="T38" i="156"/>
  <c r="P50" i="156"/>
  <c r="P57" i="156"/>
  <c r="X8" i="164"/>
  <c r="Z43" i="164"/>
  <c r="AD43" i="164"/>
  <c r="R89" i="164"/>
  <c r="R96" i="164"/>
  <c r="AV60" i="164"/>
  <c r="M26" i="126"/>
  <c r="L41" i="126"/>
  <c r="M32" i="126"/>
  <c r="M14" i="126"/>
  <c r="J88" i="161"/>
  <c r="T44" i="156"/>
  <c r="P67" i="156"/>
  <c r="AF84" i="164"/>
  <c r="AH84" i="164"/>
  <c r="U57" i="164"/>
  <c r="Q8" i="164"/>
  <c r="X25" i="164"/>
  <c r="Z42" i="164"/>
  <c r="AD42" i="164"/>
  <c r="AK42" i="164"/>
  <c r="Z44" i="164"/>
  <c r="AD44" i="164"/>
  <c r="AC51" i="164"/>
  <c r="AR62" i="164"/>
  <c r="AV62" i="164"/>
  <c r="AC74" i="164"/>
  <c r="Q36" i="164"/>
  <c r="Z54" i="164"/>
  <c r="AD54" i="164"/>
  <c r="AC63" i="164"/>
  <c r="Z34" i="164"/>
  <c r="AD34" i="164"/>
  <c r="AF34" i="164"/>
  <c r="AQ34" i="164"/>
  <c r="Z35" i="164"/>
  <c r="AD35" i="164"/>
  <c r="Z40" i="164"/>
  <c r="AD40" i="164"/>
  <c r="AL40" i="164"/>
  <c r="Q57" i="164"/>
  <c r="AC57" i="164"/>
  <c r="W89" i="164"/>
  <c r="Z98" i="164"/>
  <c r="Z99" i="164"/>
  <c r="AD99" i="164"/>
  <c r="AK99" i="164"/>
  <c r="J4" i="164"/>
  <c r="J3" i="164"/>
  <c r="Q109" i="164"/>
  <c r="Q69" i="156"/>
  <c r="Z19" i="164"/>
  <c r="AD19" i="164"/>
  <c r="AL19" i="164"/>
  <c r="N91" i="164"/>
  <c r="Q95" i="164"/>
  <c r="N96" i="164"/>
  <c r="Z18" i="164"/>
  <c r="AD18" i="164"/>
  <c r="AC25" i="164"/>
  <c r="V89" i="164"/>
  <c r="V96" i="164"/>
  <c r="Z66" i="164"/>
  <c r="AD66" i="164"/>
  <c r="AL66" i="164"/>
  <c r="X88" i="164"/>
  <c r="Z87" i="164"/>
  <c r="AD107" i="164"/>
  <c r="AL107" i="164"/>
  <c r="L26" i="126"/>
  <c r="X22" i="164"/>
  <c r="AK55" i="164"/>
  <c r="AL55" i="164"/>
  <c r="AF54" i="164"/>
  <c r="AK54" i="164"/>
  <c r="AL54" i="164"/>
  <c r="X63" i="164"/>
  <c r="Z59" i="164"/>
  <c r="AL67" i="164"/>
  <c r="AF67" i="164"/>
  <c r="AH67" i="164"/>
  <c r="Q26" i="126"/>
  <c r="P38" i="156"/>
  <c r="Z20" i="164"/>
  <c r="AD20" i="164"/>
  <c r="AL20" i="164"/>
  <c r="S92" i="164"/>
  <c r="X39" i="164"/>
  <c r="Z39" i="164"/>
  <c r="AD39" i="164"/>
  <c r="AK39" i="164"/>
  <c r="U45" i="164"/>
  <c r="AL59" i="164"/>
  <c r="W96" i="164"/>
  <c r="W92" i="164"/>
  <c r="I99" i="164"/>
  <c r="Q90" i="164"/>
  <c r="Q9" i="164"/>
  <c r="AF43" i="164"/>
  <c r="AH43" i="164"/>
  <c r="AL43" i="164"/>
  <c r="AK43" i="164"/>
  <c r="Z65" i="164"/>
  <c r="Q70" i="164"/>
  <c r="M35" i="126"/>
  <c r="M38" i="126"/>
  <c r="L38" i="126"/>
  <c r="AF101" i="164"/>
  <c r="AH101" i="164"/>
  <c r="AK101" i="164"/>
  <c r="AL35" i="164"/>
  <c r="AF35" i="164"/>
  <c r="AK35" i="164"/>
  <c r="AF28" i="164"/>
  <c r="AK28" i="164"/>
  <c r="AL69" i="164"/>
  <c r="AF69" i="164"/>
  <c r="AH69" i="164"/>
  <c r="AK69" i="164"/>
  <c r="AF78" i="164"/>
  <c r="AL78" i="164"/>
  <c r="AK78" i="164"/>
  <c r="L32" i="126"/>
  <c r="L3" i="126"/>
  <c r="Q32" i="126"/>
  <c r="Q3" i="126"/>
  <c r="M17" i="126"/>
  <c r="T69" i="156"/>
  <c r="AD10" i="164"/>
  <c r="AF72" i="164"/>
  <c r="AL72" i="164"/>
  <c r="AK72" i="164"/>
  <c r="AL106" i="164"/>
  <c r="X80" i="164"/>
  <c r="Z79" i="164"/>
  <c r="AD79" i="164"/>
  <c r="AD80" i="164"/>
  <c r="AK80" i="164"/>
  <c r="AF12" i="164"/>
  <c r="AK12" i="164"/>
  <c r="AF24" i="164"/>
  <c r="AK24" i="164"/>
  <c r="AL24" i="164"/>
  <c r="X70" i="164"/>
  <c r="R91" i="164"/>
  <c r="J91" i="161"/>
  <c r="AF29" i="164"/>
  <c r="AH29" i="164"/>
  <c r="AK29" i="164"/>
  <c r="AL29" i="164"/>
  <c r="X90" i="164"/>
  <c r="X9" i="164"/>
  <c r="Y9" i="164"/>
  <c r="Y90" i="164"/>
  <c r="AF76" i="164"/>
  <c r="AF82" i="164"/>
  <c r="AL108" i="164"/>
  <c r="Z6" i="164"/>
  <c r="Z32" i="164"/>
  <c r="AD32" i="164"/>
  <c r="AF32" i="164"/>
  <c r="Z49" i="164"/>
  <c r="AD49" i="164"/>
  <c r="AK49" i="164"/>
  <c r="AG70" i="164"/>
  <c r="Z73" i="164"/>
  <c r="AD85" i="164"/>
  <c r="AL84" i="164"/>
  <c r="Z48" i="164"/>
  <c r="AD48" i="164"/>
  <c r="AL48" i="164"/>
  <c r="S96" i="164"/>
  <c r="Q13" i="164"/>
  <c r="Q91" i="164"/>
  <c r="Q63" i="164"/>
  <c r="AR61" i="164"/>
  <c r="AV61" i="164"/>
  <c r="Y92" i="164"/>
  <c r="AC22" i="164"/>
  <c r="V61" i="164"/>
  <c r="Z61" i="164"/>
  <c r="AF53" i="164"/>
  <c r="Q22" i="164"/>
  <c r="AC70" i="164"/>
  <c r="Y96" i="164"/>
  <c r="Q45" i="164"/>
  <c r="Z50" i="164"/>
  <c r="AD50" i="164"/>
  <c r="AK50" i="164"/>
  <c r="AB89" i="164"/>
  <c r="AC109" i="164"/>
  <c r="AC115" i="164"/>
  <c r="AF50" i="164"/>
  <c r="AH50" i="164"/>
  <c r="AL50" i="164"/>
  <c r="Q51" i="164"/>
  <c r="Z31" i="164"/>
  <c r="AD31" i="164"/>
  <c r="AL31" i="164"/>
  <c r="Z30" i="164"/>
  <c r="AD30" i="164"/>
  <c r="AL30" i="164"/>
  <c r="AO4" i="164"/>
  <c r="U36" i="164"/>
  <c r="AL42" i="164"/>
  <c r="O89" i="164"/>
  <c r="O92" i="164"/>
  <c r="AL41" i="164"/>
  <c r="AK41" i="164"/>
  <c r="AF41" i="164"/>
  <c r="Z21" i="164"/>
  <c r="AD21" i="164"/>
  <c r="AF20" i="164"/>
  <c r="P89" i="164"/>
  <c r="P96" i="164"/>
  <c r="AE89" i="164"/>
  <c r="AA89" i="164"/>
  <c r="AA96" i="164"/>
  <c r="AE9" i="164"/>
  <c r="AK9" i="164" s="1"/>
  <c r="AB90" i="164"/>
  <c r="AD13" i="164"/>
  <c r="AK11" i="164"/>
  <c r="AD95" i="164"/>
  <c r="AK95" i="164"/>
  <c r="AC36" i="164"/>
  <c r="Z33" i="164"/>
  <c r="AD33" i="164"/>
  <c r="AL33" i="164"/>
  <c r="X57" i="164"/>
  <c r="Z56" i="164"/>
  <c r="AF49" i="164"/>
  <c r="AH49" i="164"/>
  <c r="AF48" i="164"/>
  <c r="AH48" i="164"/>
  <c r="X51" i="164"/>
  <c r="Z47" i="164"/>
  <c r="U51" i="164"/>
  <c r="AF44" i="164"/>
  <c r="AK44" i="164"/>
  <c r="AL44" i="164"/>
  <c r="AC45" i="164"/>
  <c r="X45" i="164"/>
  <c r="Z38" i="164"/>
  <c r="T89" i="164"/>
  <c r="T96" i="164"/>
  <c r="X36" i="164"/>
  <c r="AE93" i="164"/>
  <c r="AK93" i="164" s="1"/>
  <c r="AH28" i="164"/>
  <c r="AL28" i="164"/>
  <c r="V92" i="164"/>
  <c r="V93" i="164"/>
  <c r="AG91" i="164"/>
  <c r="AG90" i="164"/>
  <c r="AA9" i="164"/>
  <c r="AC90" i="164"/>
  <c r="AC9" i="164"/>
  <c r="AF42" i="164"/>
  <c r="AH42" i="164"/>
  <c r="AL49" i="164"/>
  <c r="AL32" i="164"/>
  <c r="AK31" i="164"/>
  <c r="AL79" i="164"/>
  <c r="AV64" i="164"/>
  <c r="AF105" i="164"/>
  <c r="AH105" i="164"/>
  <c r="AL105" i="164"/>
  <c r="AL103" i="164"/>
  <c r="AF103" i="164"/>
  <c r="AH103" i="164"/>
  <c r="AK32" i="164"/>
  <c r="AK106" i="164"/>
  <c r="AL27" i="164"/>
  <c r="AF68" i="164"/>
  <c r="AH68" i="164"/>
  <c r="Z95" i="164"/>
  <c r="AF83" i="164"/>
  <c r="AD23" i="164"/>
  <c r="AK83" i="164"/>
  <c r="AK68" i="164"/>
  <c r="N92" i="164"/>
  <c r="AL34" i="164"/>
  <c r="AB92" i="164"/>
  <c r="AB114" i="164"/>
  <c r="AB116" i="164"/>
  <c r="AF40" i="164"/>
  <c r="AH40" i="164"/>
  <c r="AR63" i="164"/>
  <c r="AV63" i="164"/>
  <c r="AK79" i="164"/>
  <c r="AK20" i="164"/>
  <c r="AK34" i="164"/>
  <c r="AK40" i="164"/>
  <c r="AF79" i="164"/>
  <c r="AF80" i="164"/>
  <c r="Z80" i="164"/>
  <c r="AH80" i="164"/>
  <c r="AD22" i="164"/>
  <c r="AK22" i="164"/>
  <c r="AL63" i="164"/>
  <c r="Z70" i="164"/>
  <c r="AH70" i="164"/>
  <c r="AD65" i="164"/>
  <c r="AK18" i="164"/>
  <c r="AF18" i="164"/>
  <c r="AK30" i="164"/>
  <c r="AK48" i="164"/>
  <c r="Q89" i="164"/>
  <c r="Q96" i="164"/>
  <c r="AH82" i="164"/>
  <c r="AF85" i="164"/>
  <c r="AK107" i="164"/>
  <c r="AF107" i="164"/>
  <c r="AD102" i="164"/>
  <c r="Z118" i="164"/>
  <c r="Z109" i="164"/>
  <c r="AF30" i="164"/>
  <c r="AH30" i="164"/>
  <c r="AL13" i="164"/>
  <c r="AK85" i="164"/>
  <c r="AL85" i="164"/>
  <c r="Z88" i="164"/>
  <c r="AD87" i="164"/>
  <c r="AF31" i="164"/>
  <c r="AH31" i="164"/>
  <c r="Z74" i="164"/>
  <c r="AD73" i="164"/>
  <c r="AF10" i="164"/>
  <c r="AF13" i="164"/>
  <c r="AF91" i="164"/>
  <c r="AK10" i="164"/>
  <c r="AK66" i="164"/>
  <c r="AF66" i="164"/>
  <c r="AH66" i="164"/>
  <c r="AF19" i="164"/>
  <c r="AK19" i="164"/>
  <c r="AL39" i="164"/>
  <c r="M3" i="126"/>
  <c r="Z94" i="164"/>
  <c r="V63" i="164"/>
  <c r="Z63" i="164"/>
  <c r="AD6" i="164"/>
  <c r="Z8" i="164"/>
  <c r="AL18" i="164"/>
  <c r="AF33" i="164"/>
  <c r="AH33" i="164"/>
  <c r="AK33" i="164"/>
  <c r="AD36" i="164"/>
  <c r="AL36" i="164"/>
  <c r="AF39" i="164"/>
  <c r="AH39" i="164"/>
  <c r="Z36" i="164"/>
  <c r="AH36" i="164"/>
  <c r="U89" i="164"/>
  <c r="U92" i="164"/>
  <c r="O96" i="164"/>
  <c r="Q93" i="164"/>
  <c r="P92" i="164"/>
  <c r="P95" i="164"/>
  <c r="AE96" i="164"/>
  <c r="AK21" i="164"/>
  <c r="AF21" i="164"/>
  <c r="AF22" i="164"/>
  <c r="AH22" i="164"/>
  <c r="Z22" i="164"/>
  <c r="AL21" i="164"/>
  <c r="AH20" i="164"/>
  <c r="AL22" i="164"/>
  <c r="AC89" i="164"/>
  <c r="AC92" i="164"/>
  <c r="AC114" i="164"/>
  <c r="AC116" i="164"/>
  <c r="AD91" i="164"/>
  <c r="AK13" i="164"/>
  <c r="AA92" i="164"/>
  <c r="AA114" i="164"/>
  <c r="AA116" i="164"/>
  <c r="AB96" i="164"/>
  <c r="Z57" i="164"/>
  <c r="AH57" i="164"/>
  <c r="AD56" i="164"/>
  <c r="T92" i="164"/>
  <c r="U93" i="164"/>
  <c r="Z51" i="164"/>
  <c r="AH51" i="164"/>
  <c r="AD47" i="164"/>
  <c r="X89" i="164"/>
  <c r="X92" i="164"/>
  <c r="AG89" i="164"/>
  <c r="AG92" i="164"/>
  <c r="Z45" i="164"/>
  <c r="AH45" i="164"/>
  <c r="AD38" i="164"/>
  <c r="AH32" i="164"/>
  <c r="AQ32" i="164"/>
  <c r="AC118" i="164"/>
  <c r="AF23" i="164"/>
  <c r="AD25" i="164"/>
  <c r="AL23" i="164"/>
  <c r="AK23" i="164"/>
  <c r="AF36" i="164"/>
  <c r="AD88" i="164"/>
  <c r="AL88" i="164"/>
  <c r="AK87" i="164"/>
  <c r="AF87" i="164"/>
  <c r="AF88" i="164"/>
  <c r="AL87" i="164"/>
  <c r="Q92" i="164"/>
  <c r="Z115" i="164"/>
  <c r="AD110" i="164"/>
  <c r="AC110" i="164"/>
  <c r="AK36" i="164"/>
  <c r="Z90" i="164"/>
  <c r="AD94" i="164"/>
  <c r="AK94" i="164"/>
  <c r="Z9" i="164"/>
  <c r="AH107" i="164"/>
  <c r="AK6" i="164"/>
  <c r="AD8" i="164"/>
  <c r="AF6" i="164"/>
  <c r="AH6" i="164" s="1"/>
  <c r="AL6" i="164"/>
  <c r="AF73" i="164"/>
  <c r="AF74" i="164"/>
  <c r="AK73" i="164"/>
  <c r="AL73" i="164"/>
  <c r="AD74" i="164"/>
  <c r="AD70" i="164"/>
  <c r="AK65" i="164"/>
  <c r="AF65" i="164"/>
  <c r="AL65" i="164"/>
  <c r="AK102" i="164"/>
  <c r="AF102" i="164"/>
  <c r="AF111" i="164"/>
  <c r="AD109" i="164"/>
  <c r="AL102" i="164"/>
  <c r="U96" i="164"/>
  <c r="Z89" i="164"/>
  <c r="AE118" i="164"/>
  <c r="AL91" i="164"/>
  <c r="AK91" i="164"/>
  <c r="AC93" i="164"/>
  <c r="Z93" i="164"/>
  <c r="AF56" i="164"/>
  <c r="AK56" i="164"/>
  <c r="AD57" i="164"/>
  <c r="AL56" i="164"/>
  <c r="AF47" i="164"/>
  <c r="AL47" i="164"/>
  <c r="AD51" i="164"/>
  <c r="AK47" i="164"/>
  <c r="X96" i="164"/>
  <c r="AK38" i="164"/>
  <c r="AL38" i="164"/>
  <c r="AD45" i="164"/>
  <c r="AF38" i="164"/>
  <c r="AK25" i="164"/>
  <c r="AL25" i="164"/>
  <c r="AQ23" i="164"/>
  <c r="AF25" i="164"/>
  <c r="AF8" i="164"/>
  <c r="AF9" i="164" s="1"/>
  <c r="AD90" i="164"/>
  <c r="AK8" i="164"/>
  <c r="AD9" i="164"/>
  <c r="AL8" i="164"/>
  <c r="AK70" i="164"/>
  <c r="AL70" i="164"/>
  <c r="AK74" i="164"/>
  <c r="AL74" i="164"/>
  <c r="AD115" i="164"/>
  <c r="AF118" i="164"/>
  <c r="AF110" i="164"/>
  <c r="AK109" i="164"/>
  <c r="AL109" i="164"/>
  <c r="AL115" i="164"/>
  <c r="AL116" i="164"/>
  <c r="AH102" i="164"/>
  <c r="AF109" i="164"/>
  <c r="AF70" i="164"/>
  <c r="AH65" i="164"/>
  <c r="AD89" i="164"/>
  <c r="AL57" i="164"/>
  <c r="AK57" i="164"/>
  <c r="AH56" i="164"/>
  <c r="AF57" i="164"/>
  <c r="AF51" i="164"/>
  <c r="AH47" i="164"/>
  <c r="AK51" i="164"/>
  <c r="AL51" i="164"/>
  <c r="Z96" i="164"/>
  <c r="AD96" i="164"/>
  <c r="AD93" i="164"/>
  <c r="Z92" i="164"/>
  <c r="Z114" i="164"/>
  <c r="Z116" i="164"/>
  <c r="AD118" i="164"/>
  <c r="AF45" i="164"/>
  <c r="AH38" i="164"/>
  <c r="AK45" i="164"/>
  <c r="AL45" i="164"/>
  <c r="AQ4" i="164"/>
  <c r="AQ96" i="164"/>
  <c r="AR96" i="164"/>
  <c r="AF115" i="164"/>
  <c r="AG115" i="164"/>
  <c r="AH109" i="164"/>
  <c r="AL9" i="164"/>
  <c r="AL90" i="164"/>
  <c r="AH8" i="164"/>
  <c r="AF89" i="164"/>
  <c r="AF96" i="164"/>
  <c r="AH96" i="164"/>
  <c r="AL96" i="164"/>
  <c r="AK96" i="164"/>
  <c r="AL89" i="164"/>
  <c r="AD92" i="164"/>
  <c r="AK89" i="164"/>
  <c r="AR4" i="164"/>
  <c r="AQ2" i="164"/>
  <c r="AH89" i="164"/>
  <c r="AL92" i="164"/>
  <c r="AD114" i="164"/>
  <c r="AD116" i="164"/>
  <c r="AF90" i="164" l="1"/>
  <c r="AH90" i="164" s="1"/>
  <c r="AE92" i="164"/>
  <c r="AH9" i="164"/>
  <c r="Y18" i="172"/>
  <c r="Z18" i="172"/>
  <c r="M18" i="172"/>
  <c r="AK92" i="164" l="1"/>
  <c r="AF92" i="164"/>
  <c r="AF114" i="164" s="1"/>
  <c r="AF116" i="164" s="1"/>
  <c r="AE114" i="164"/>
  <c r="AE116" i="164" l="1"/>
  <c r="AG114" i="164"/>
  <c r="AF119" i="164"/>
  <c r="AH92" i="164"/>
  <c r="AF120" i="164" l="1"/>
  <c r="AE120" i="164" s="1"/>
  <c r="AG116" i="164"/>
  <c r="AD120" i="164"/>
</calcChain>
</file>

<file path=xl/sharedStrings.xml><?xml version="1.0" encoding="utf-8"?>
<sst xmlns="http://schemas.openxmlformats.org/spreadsheetml/2006/main" count="8851" uniqueCount="1776">
  <si>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</si>
  <si>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</si>
  <si>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</si>
  <si>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</si>
  <si>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</si>
  <si>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</si>
  <si>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</si>
  <si>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</si>
  <si>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</si>
  <si>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</si>
  <si>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</si>
  <si>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</si>
  <si>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</si>
  <si>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</si>
  <si>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</si>
  <si>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</si>
  <si>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</si>
  <si>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</si>
  <si>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</si>
  <si>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</si>
  <si>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</si>
  <si>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</si>
  <si>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</si>
  <si>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</si>
  <si>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</si>
  <si>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</si>
  <si>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</si>
  <si>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</si>
  <si>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</si>
  <si>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</si>
  <si>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</si>
  <si>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</si>
  <si>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</si>
  <si>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</si>
  <si>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</si>
  <si>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</si>
  <si>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</si>
  <si>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</si>
  <si>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</si>
  <si>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</si>
  <si>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</si>
  <si>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</si>
  <si>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</si>
  <si>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</si>
  <si>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</si>
  <si>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</si>
  <si>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</si>
  <si>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</si>
  <si>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</si>
  <si>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</si>
  <si>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</si>
  <si>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</si>
  <si>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</si>
  <si>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</si>
  <si>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</si>
  <si>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</si>
  <si>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</si>
  <si>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</si>
  <si>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</si>
  <si>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</si>
  <si>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</si>
  <si>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</si>
  <si>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</si>
  <si>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</si>
  <si>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</si>
  <si>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</si>
  <si>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</si>
  <si>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</si>
  <si>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</si>
  <si>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</si>
  <si>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</si>
  <si>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78111502
90121502</t>
  </si>
  <si>
    <t>80141625
80111502</t>
  </si>
  <si>
    <t>ENERO</t>
  </si>
  <si>
    <t>OCTUBRE</t>
  </si>
  <si>
    <t>MARZO</t>
  </si>
  <si>
    <t>MAYO</t>
  </si>
  <si>
    <t>SEPTIEMBRE</t>
  </si>
  <si>
    <t>ABRIL</t>
  </si>
  <si>
    <t>JUNIO</t>
  </si>
  <si>
    <t>FEBRERO</t>
  </si>
  <si>
    <t>AGOSTO</t>
  </si>
  <si>
    <t>Herramienta de Chat para la Función Pública</t>
  </si>
  <si>
    <t>CERTIFICADO DE RUBRO PRESUPUESTAL</t>
  </si>
  <si>
    <t>RUBRO</t>
  </si>
  <si>
    <t>FECHA DE EXPEDICION POLIZA</t>
  </si>
  <si>
    <t>SUPERVISOR</t>
  </si>
  <si>
    <t/>
  </si>
  <si>
    <t>CSF</t>
  </si>
  <si>
    <t>10</t>
  </si>
  <si>
    <t>Nación</t>
  </si>
  <si>
    <t>1</t>
  </si>
  <si>
    <t>C</t>
  </si>
  <si>
    <t>11</t>
  </si>
  <si>
    <t>5</t>
  </si>
  <si>
    <t>15</t>
  </si>
  <si>
    <t>4</t>
  </si>
  <si>
    <t>20</t>
  </si>
  <si>
    <t>3</t>
  </si>
  <si>
    <t>6</t>
  </si>
  <si>
    <t>A</t>
  </si>
  <si>
    <t>2</t>
  </si>
  <si>
    <t>0</t>
  </si>
  <si>
    <t>DESCRIPCION</t>
  </si>
  <si>
    <t>SIT</t>
  </si>
  <si>
    <t>REC</t>
  </si>
  <si>
    <t>FUENTE</t>
  </si>
  <si>
    <t>SOR
ORD</t>
  </si>
  <si>
    <t>ORD</t>
  </si>
  <si>
    <t>OBJ</t>
  </si>
  <si>
    <t>SUB
CTA</t>
  </si>
  <si>
    <t>CTA</t>
  </si>
  <si>
    <t>TIPO</t>
  </si>
  <si>
    <t>DEPARTAMENTO ADMINISTRATIVO DE LA FUNCIÓN PÚBLICA</t>
  </si>
  <si>
    <t>COMPRA DE EQUIPO</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</si>
  <si>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</si>
  <si>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</si>
  <si>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</si>
  <si>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</si>
  <si>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</si>
  <si>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</si>
  <si>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</si>
  <si>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</si>
  <si>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</si>
  <si>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COMUNICACIONES Y TRANSPORTES</t>
  </si>
  <si>
    <t>VIATICOS Y GASTOS DE VIAJE</t>
  </si>
  <si>
    <t>SERVICIOS PARA ESTIMULOS</t>
  </si>
  <si>
    <t>MATERIALES Y SUMINISTROS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</si>
  <si>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</si>
  <si>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</si>
  <si>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</si>
  <si>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</si>
  <si>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</si>
  <si>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</si>
  <si>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</si>
  <si>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</si>
  <si>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</si>
  <si>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</si>
  <si>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</si>
  <si>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8</t>
  </si>
  <si>
    <t>25</t>
  </si>
  <si>
    <t>17</t>
  </si>
  <si>
    <t>18</t>
  </si>
  <si>
    <t>23</t>
  </si>
  <si>
    <t>12</t>
  </si>
  <si>
    <t>7</t>
  </si>
  <si>
    <t>21</t>
  </si>
  <si>
    <t>NACIÓN</t>
  </si>
  <si>
    <t xml:space="preserve"> </t>
  </si>
  <si>
    <t>EDICION DE LIBROS,REVISTAS,ESCRITOS Y TRABAJOS TIPOGRAFICOS</t>
  </si>
  <si>
    <t>ADQUISICION DE LIBROS Y REVISTAS</t>
  </si>
  <si>
    <t>UTENSILIOS DE CAFETERÍA</t>
  </si>
  <si>
    <t>SUBTOTAL IMPRESOS Y PUBLICACIONES</t>
  </si>
  <si>
    <t>SERVICIOS DE CAPACITACIÓN</t>
  </si>
  <si>
    <t>EQUIPO DE COMUNICACIONES</t>
  </si>
  <si>
    <t>PAPELERÍA UTILES DE ESCRITORIO Y OFICINA (INCLUYE TONER )</t>
  </si>
  <si>
    <t>1 MES</t>
  </si>
  <si>
    <t>2 MESES</t>
  </si>
  <si>
    <t>2 0 4 4 1 COMBUSTIBLES Y LUBRICANTES</t>
  </si>
  <si>
    <t>Cantidad estimada</t>
  </si>
  <si>
    <t>Unidad de Medida</t>
  </si>
  <si>
    <t>2 0 4 6 5 SERVICIOS DE TRANSMISIÓN DE INFORMACIÓN</t>
  </si>
  <si>
    <t>OTROS COMUNICACIONES Y TRANSPORTE (MEDIOS MAGNETICOS $3.500.000)</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</si>
  <si>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</si>
  <si>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</si>
  <si>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</si>
  <si>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</si>
  <si>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</si>
  <si>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</si>
  <si>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</si>
  <si>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</si>
  <si>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</si>
  <si>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SALDO PARA GASTOS</t>
  </si>
  <si>
    <t>ACUERDO MARCO DE PRECIOS</t>
  </si>
  <si>
    <t>CDP INICIAL DE CAJA MENOR</t>
  </si>
  <si>
    <t>Descripción</t>
  </si>
  <si>
    <t>REPUESTOS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</si>
  <si>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</si>
  <si>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</si>
  <si>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</si>
  <si>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</si>
  <si>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</si>
  <si>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</si>
  <si>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</si>
  <si>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</si>
  <si>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</si>
  <si>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</si>
  <si>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</si>
  <si>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</si>
  <si>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</si>
  <si>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</si>
  <si>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</si>
  <si>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</si>
  <si>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</si>
  <si>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</si>
  <si>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</si>
  <si>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</si>
  <si>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</si>
  <si>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</si>
  <si>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</si>
  <si>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Pruebas Kompe Estatal- Códigos de Acceso PIN (2.000 pruebas)</t>
  </si>
  <si>
    <t xml:space="preserve">Adquisición  y suministro de tóner y cartuchos para impresoras. </t>
  </si>
  <si>
    <t>6 MESES</t>
  </si>
  <si>
    <t xml:space="preserve">
2 0 4 11 2 VIATICOS Y GASTOS DE VIAJE AL INTERIOR</t>
  </si>
  <si>
    <t>Transporte de vehículo automotor en cama baja a la ciudad de Bogotá.</t>
  </si>
  <si>
    <t>72101510
72101511    72101509</t>
  </si>
  <si>
    <t>8 MESES</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</si>
  <si>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</si>
  <si>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</si>
  <si>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</si>
  <si>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</si>
  <si>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MANTENIMIENTO DE BIENES INMUEBLES (ASCENSORES $8.074,767 +</t>
  </si>
  <si>
    <t xml:space="preserve">OTROS GASTOS POR IMPRESOS Y PUBLICACIONES </t>
  </si>
  <si>
    <t xml:space="preserve">Prestación de los servicios de conectividad y enlaces. </t>
  </si>
  <si>
    <t>Nube pública</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</si>
  <si>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</si>
  <si>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</si>
  <si>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</si>
  <si>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</si>
  <si>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Contratar el suministro de gasolina corriente en Estaciones de Servicio para el funcionamiento de los vehículos automotores por los cuales sea legalmente responsable la Función Pública.</t>
  </si>
  <si>
    <t>REPORTE PRESUPUESTO - CAJA MENOR 2017</t>
  </si>
  <si>
    <t>EJECUCIÓN CAJA MENOR VIGENCIA 2016</t>
  </si>
  <si>
    <t>PROYECCCION GASTOS CAJA MENOR 2017</t>
  </si>
  <si>
    <t>DIFERENCIA 2017 - 2016</t>
  </si>
  <si>
    <t>PLAN ANUAL DE ADQUISICIONES 2017</t>
  </si>
  <si>
    <t>Julián Mauricio Martínez Alvarado - Coordinadora Grupo Gestion Administrativa 
Doris Atahualpa Polanco - Coordinadora Grupo de Gestión Contractual</t>
  </si>
  <si>
    <t>LICITACIÓN PÚBLICA</t>
  </si>
  <si>
    <t>Tiquetes aereos nacionales</t>
  </si>
  <si>
    <t>Adquisición  de habladores en acrílico de 22 cm de ancho x 10 de alto x 4 cm de base en 2 mm transparente .</t>
  </si>
  <si>
    <t>ACREDITAR</t>
  </si>
  <si>
    <t>CONTRAACREDITAR</t>
  </si>
  <si>
    <t>REQUERIMIENTO</t>
  </si>
  <si>
    <t>3 MESES</t>
  </si>
  <si>
    <t>VALOR NETO DEL CONTRATO VIGENCIA 2017</t>
  </si>
  <si>
    <t>LINA PATRICIA DIMATÉ BENJUMEA</t>
  </si>
  <si>
    <t>OFICINA ASESORA DE PLANEACION</t>
  </si>
  <si>
    <t>GREISTLY KARINE VEGA PÉREZ</t>
  </si>
  <si>
    <t>EDINSON GABRIEL MALAGÓN MAYORGA</t>
  </si>
  <si>
    <t>LUZ ESTELA ROJAS QUINTERO</t>
  </si>
  <si>
    <t>MYRIAM ALINA ORMAZA ARANGO</t>
  </si>
  <si>
    <t>GERALDINE GIRALDO MORENO</t>
  </si>
  <si>
    <t>MARÍA HERRERA PARDO</t>
  </si>
  <si>
    <t>ANA MARÍA PEREZ CARRILLO</t>
  </si>
  <si>
    <t>JHON EDINSON HALLEY MOSQUERA MIRANDA</t>
  </si>
  <si>
    <t>CLAUDIA ANDREA CELY RUIZ</t>
  </si>
  <si>
    <t>ALEXANDER HERNÁNDEZ ZORRO</t>
  </si>
  <si>
    <t>KAROL YOLIMA MERCHÁN PARRA</t>
  </si>
  <si>
    <t>SECRETARIA GENERAL</t>
  </si>
  <si>
    <t>LAURA CAMILA RONDÓN LIZARAZO</t>
  </si>
  <si>
    <t>DIANA MARITZA BUENHOMBRE GUERRERO</t>
  </si>
  <si>
    <t>10 MESES</t>
  </si>
  <si>
    <t>Adquirir los certificados para la implementación de firma digital como mecanismo de protección y autenticidad e integridad de los documentos electrónicos de archivo dentro del Sistema de Gestión Documental</t>
  </si>
  <si>
    <t>32101617 
43233201</t>
  </si>
  <si>
    <t xml:space="preserve">SELECCIÓN ABREVIADA POR SUBASTA </t>
  </si>
  <si>
    <t>ROSA MARÍA BOLAÑOS TOVAR</t>
  </si>
  <si>
    <t>RUBRO PRESUPUESTAL</t>
  </si>
  <si>
    <t>7 MESES</t>
  </si>
  <si>
    <t>LUZ ANDREA PIÑEROS LÓPEZ</t>
  </si>
  <si>
    <t>SARA RESTREPO PÉREZ</t>
  </si>
  <si>
    <t>MÓNICA SILVA ELIAS</t>
  </si>
  <si>
    <t>VIRGINIA GUEVARA SIERRA</t>
  </si>
  <si>
    <t>CHRISTIAN ALEXANDER FLÓREZ GUERRERO</t>
  </si>
  <si>
    <t>JOHNATHAN ARROYO ARROYO</t>
  </si>
  <si>
    <t xml:space="preserve">VANESSA YISETH LOZANO GUERRERO </t>
  </si>
  <si>
    <t xml:space="preserve">SECRETARÍA GENERAL - GRUPO DE GESTIÓN ADMINISTRATIVA </t>
  </si>
  <si>
    <t>DIRECCIÓN GENERAL</t>
  </si>
  <si>
    <t>DIRECCIÓN DE GESTIÓN DEL CONOCIMIENTO</t>
  </si>
  <si>
    <t>DIRECCIÓN DE GESTIÓN Y DESEMPEÑO INSTITUCIONAL</t>
  </si>
  <si>
    <t>Soporte básico SIGEP I</t>
  </si>
  <si>
    <t>Soporte extendido SIGEP I</t>
  </si>
  <si>
    <t>Oracle Licenciamiento y soporte</t>
  </si>
  <si>
    <t>VALOR TOTAL DEL CTO2</t>
  </si>
  <si>
    <t>LINA MARÍA VASQUEZ CASTRO</t>
  </si>
  <si>
    <t>MICHEL FELIPE CORDOBA PEROZO</t>
  </si>
  <si>
    <t>MARÍA ALEJANDRA ARIAS HERNÁNDEZ</t>
  </si>
  <si>
    <t>FERLEY RUÍZ MORENO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</si>
  <si>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</si>
  <si>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Contratar la Suscripción al soporte y actualización del  Linux Red Hat Enterprise última versión.</t>
  </si>
  <si>
    <t>Prestar el servicio de apoyo logístico a nivel nacional, para la organización de los eventos de difusión de políticas requeridos por el Departamento Administrativo de la Función Pública</t>
  </si>
  <si>
    <t>JUAN DAVID MENDOZA VARGAS</t>
  </si>
  <si>
    <t>CRISTIAN YESID TORRES GUERRERO</t>
  </si>
  <si>
    <t>ANDREA CAROLINA VELANDIA DURAN</t>
  </si>
  <si>
    <t>MARIO ANDRÉS SUAREZ TOVAR</t>
  </si>
  <si>
    <t>ALFREDO SCHLESINGER FACCINI</t>
  </si>
  <si>
    <t xml:space="preserve"> 4 MESES</t>
  </si>
  <si>
    <t>SELECCIÓN ABREVIADA POR SUBASTA</t>
  </si>
  <si>
    <t>SECRETARÍA GENERAL - GRUPO DE GESTIÓN CONTRACTUAL</t>
  </si>
  <si>
    <t>B</t>
  </si>
  <si>
    <t>Soporte técnico UPS</t>
  </si>
  <si>
    <t>LINA MARÍA RICAURTE SIERRA</t>
  </si>
  <si>
    <t>SERGIO MEJÍA DUSSAN</t>
  </si>
  <si>
    <t>Suscripción al licenciamiento de software de antivirus</t>
  </si>
  <si>
    <t>Suscripción al licenciamiento de software de mail masivo</t>
  </si>
  <si>
    <t>Mejoramiento de solución Voz IP e integración con el CRM</t>
  </si>
  <si>
    <t>4 MESES</t>
  </si>
  <si>
    <t>Suscripción al servicio de software de inventarios</t>
  </si>
  <si>
    <t>2 0 4 2 2 MOBILIARIO Y ENSERES</t>
  </si>
  <si>
    <t>Adquisición de sillas ergonómicas para el personal del Departamento</t>
  </si>
  <si>
    <t>JUAN PABLO CAICEDO MONTAÑA</t>
  </si>
  <si>
    <t>No de Orden o línea</t>
  </si>
  <si>
    <t>Dependencia o área</t>
  </si>
  <si>
    <t>SUBDIRECCIÓN</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</si>
  <si>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</si>
  <si>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</si>
  <si>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</si>
  <si>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</si>
  <si>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FRANCISCO AMEZQUITA TEL.  3344080 EXT  216. 5667649. famezquita@funcionpublica.gov.co</t>
  </si>
  <si>
    <t>DANIEL FERNANDO LOZANO TOSCANO</t>
  </si>
  <si>
    <t>ROGER QUIRAMA  Ext 500
rquirama@funcionpublica.gov.co</t>
  </si>
  <si>
    <t>Mantenimiento, suministro e instalación de cableado estructurado en el edificio sede del DAFP:</t>
  </si>
  <si>
    <t>72102900 72103300</t>
  </si>
  <si>
    <t xml:space="preserve">TOTAL TRASLADOS </t>
  </si>
  <si>
    <t>VERIFICACION DE TRASLADO ENTRE SUBRUBROS</t>
  </si>
  <si>
    <t xml:space="preserve">Adquisición de elementos de emergencias para los servidores de la Función Pública. </t>
  </si>
  <si>
    <t>2 0 4 1 8 SOFTWARE</t>
  </si>
  <si>
    <t>TRANSLADO ENTRE SUBRUBROS</t>
  </si>
  <si>
    <t>GRUPO DE GESTIÓN ADMINISTRATIVA</t>
  </si>
  <si>
    <t xml:space="preserve">
44122025
44102020
</t>
  </si>
  <si>
    <t>Adquirir los siguientes elementos para la carnetización del personal de la entidad: bolsillo P - laminación X 100 7X10 cms calibre 7
 Kit Porta Carnet Vertical en Cuero con collar con nombre de la entidad</t>
  </si>
  <si>
    <t>LUZ MARY RIAÑO EXT. 530 lriano@funcionpublica.gov.co</t>
  </si>
  <si>
    <t>JULIAN MAURICIO MARTINEZ Ext. 400 jmartinez@funcionpublica.gov.co</t>
  </si>
  <si>
    <t>NOHORA CONSTANZA SIABATO EXT. 430 nsiabato@funcionpublica.gov.co</t>
  </si>
  <si>
    <t xml:space="preserve">2 0 4 1 6 EQUIPOS DE SISTEMAS </t>
  </si>
  <si>
    <t>REPORTE PRESUPUESTO - PLAN ANUAL DE ADQUSICIONES</t>
  </si>
  <si>
    <t>PLA</t>
  </si>
  <si>
    <t>EJECUCIÓN VIGENCIA 2013</t>
  </si>
  <si>
    <t>EJECUCIÓN VIGENCIA 2014</t>
  </si>
  <si>
    <t>EJECUCIÓN VIGENCIA 2015</t>
  </si>
  <si>
    <t>VIGENCIA 2017</t>
  </si>
  <si>
    <t>PLAN ANUAL DE ADQUISICIONES</t>
  </si>
  <si>
    <t>% EJECUCIÓN  POR RUBRO</t>
  </si>
  <si>
    <t>traslado entre rubros</t>
  </si>
  <si>
    <t>APR. INICIAL</t>
  </si>
  <si>
    <t>APR. ADICIONADA</t>
  </si>
  <si>
    <t>MENOS APR. REDUCIDA(AZUL APROPIAC BLOQUEADA)</t>
  </si>
  <si>
    <t>APR. VIGENTE</t>
  </si>
  <si>
    <t>PAGOS NO ASOCIADOS A CONTRATOS</t>
  </si>
  <si>
    <t>MENOS VIGENCIAS FUTURAS 2017</t>
  </si>
  <si>
    <t>REINTEGROS CAJA MENOR (Manual)</t>
  </si>
  <si>
    <t>ADICION A CONTRATOS Y CIRCULAR 01 2016 VIATICOS</t>
  </si>
  <si>
    <t>SALDO DEL PROYECTO PARA COMPROMETER EN EL PAA</t>
  </si>
  <si>
    <t>VALOR INICIAL REGISTRO PAA</t>
  </si>
  <si>
    <t>VALORES CONTRATADOS  DEL PAA</t>
  </si>
  <si>
    <t>DIFERENCIA VALORES DE REGISTRO EN PAA</t>
  </si>
  <si>
    <t>SALDO TOTAL  DISPONIBLE DEL PROYECTO</t>
  </si>
  <si>
    <t>VALOR REGISTRADO EN PAA PENDIENTE DE CONTRATAR</t>
  </si>
  <si>
    <t>SUBTOTAL POR PROGRAMAR EN EL PAA</t>
  </si>
  <si>
    <t>% EJECUCIÓN del PAA POR RUBRO</t>
  </si>
  <si>
    <t>% PROMEDIO DE AVANCE EN LA EJECUCIÓN DEL PAA.</t>
  </si>
  <si>
    <t>OBSERVACIONES</t>
  </si>
  <si>
    <t>PRUEBAS</t>
  </si>
  <si>
    <t>OTROS SUBRUBROS PENDIENTES DE EJECUTAR</t>
  </si>
  <si>
    <t>NECESIDADES PARA AJUSTE PRESUPUESTAL</t>
  </si>
  <si>
    <t>PROPUESTA TRASLADOS
   ACREDITAR            I       CONTRAACRED</t>
  </si>
  <si>
    <t>HONORARIOS</t>
  </si>
  <si>
    <t>Para cubrir nómina</t>
  </si>
  <si>
    <t>OTROS SERVICIOS PERSONALES INDIRECTOS</t>
  </si>
  <si>
    <t>SUBTOTAL SERVICIOS PERSONALES INDIRECTOS</t>
  </si>
  <si>
    <t>SUBTOTALES  GASTOS DE PERSONAL</t>
  </si>
  <si>
    <t>IMPUESTO PREDIAL</t>
  </si>
  <si>
    <t>IMPUESTO DE VEHÍCULOS</t>
  </si>
  <si>
    <t>MULTAS</t>
  </si>
  <si>
    <t>SUBTOTAL IMPUESTOS Y MULTAS</t>
  </si>
  <si>
    <t>ADQUISICION DE BIENES Y SERVICIOS</t>
  </si>
  <si>
    <t>EQUIPO DE SISTEMAS</t>
  </si>
  <si>
    <t>SOFTWARE</t>
  </si>
  <si>
    <t>EQUIPO Y MAQUINARIA PARA OFICINA</t>
  </si>
  <si>
    <t>MOBILIARIO Y ENSERES</t>
  </si>
  <si>
    <t>SUBTOTAL MUEBLES Y ENSERES</t>
  </si>
  <si>
    <t>COMBUSTIBLE Y LUBRICANTES</t>
  </si>
  <si>
    <t>DOTACIÓN</t>
  </si>
  <si>
    <t>LLANTAS Y ACCESORIOS</t>
  </si>
  <si>
    <t>Llantas para vehículos corsa.+ RENAULT</t>
  </si>
  <si>
    <t>materiales para los carnés</t>
  </si>
  <si>
    <t>CAJA MENOR</t>
  </si>
  <si>
    <t>MANTENIMIENTO DE BIENES INMUEBLES</t>
  </si>
  <si>
    <t>Adicionar contrato de aseo para papel higiénico $9 millones</t>
  </si>
  <si>
    <t>OTROS COMUNICACIONES Y TRANSPORTE</t>
  </si>
  <si>
    <t>SERVICIOS PUBLICOS</t>
  </si>
  <si>
    <t>SALSO PRESUP</t>
  </si>
  <si>
    <t>PROMEDIO MES</t>
  </si>
  <si>
    <t>FALTA POR PAGAR</t>
  </si>
  <si>
    <t>SALDO</t>
  </si>
  <si>
    <t>ACUEDUCTO ALCANTARILLADO Y ASEO</t>
  </si>
  <si>
    <t>ENERGÍA</t>
  </si>
  <si>
    <t>TELEFONÍA MOVIL CELULAR</t>
  </si>
  <si>
    <t>TELEFONÍA FIJA, FAX Y OTROS</t>
  </si>
  <si>
    <t>SUBTOTAL SERVICIOS PUBLICOS</t>
  </si>
  <si>
    <t>SEGUROS</t>
  </si>
  <si>
    <t>SEGURO DE INCENDIO</t>
  </si>
  <si>
    <t>SEGUROS EQUIPOS ELECTRICOS</t>
  </si>
  <si>
    <t>SEGURO RESPONSABILIDAD CIVIL</t>
  </si>
  <si>
    <t>SEGURO SUSTRACCION Y HURTO</t>
  </si>
  <si>
    <t>OTROS SEGUROS</t>
  </si>
  <si>
    <t>SUBTOTAL SEGUROS</t>
  </si>
  <si>
    <t>INCLUIR EN TRASLADO 
   $8 MILLONES. PORQUE EL VALOR PROMEDIO ES DE $76.000.000</t>
  </si>
  <si>
    <t>ARRENDAMIENTOS</t>
  </si>
  <si>
    <t>ARRENDAMIENTOS DE BIENES MUEBLES</t>
  </si>
  <si>
    <t>ARRENDAMIENTOS DE BIENES INMUEBLES</t>
  </si>
  <si>
    <t>SUBTOTAL ARRENDAMIENTOS</t>
  </si>
  <si>
    <t>TIQUETES AL EXTERIOR</t>
  </si>
  <si>
    <t>VIATICOS AL EXTERIOR</t>
  </si>
  <si>
    <t>TIQUETES AL INTERIOR</t>
  </si>
  <si>
    <t>CAPACITACION, BIENESTAR SOCIAL Y ESTIMULOS</t>
  </si>
  <si>
    <t>SERVICIOS DE BIENESTAR SOCIAL</t>
  </si>
  <si>
    <t>SUBTOTAL CAPACITACIÓN , BIENESTAR Y ESTÍMULOS</t>
  </si>
  <si>
    <t>OTROS GASTOS POR ADQUISICIÓN DE SERVICIOS</t>
  </si>
  <si>
    <t>SUBTOTAL OTROS GASTOS POR ADQUIS. BIENES</t>
  </si>
  <si>
    <t>ADQUISICIÓN BIENES Y SERVICIOS</t>
  </si>
  <si>
    <t>SERVICIOS PERSONALES INDIRECTOS (PARA PAA)</t>
  </si>
  <si>
    <t>IMPUESTOS Y MULTAS</t>
  </si>
  <si>
    <t xml:space="preserve">GRAN TOTAL </t>
  </si>
  <si>
    <t>PRUEBA VALORES</t>
  </si>
  <si>
    <t>SUBTOTAL GASTOS GENERALES</t>
  </si>
  <si>
    <t>SUMAS</t>
  </si>
  <si>
    <t>OTRAS TRANSFERENCIAS - PREVIO CONCEPTO DGPPN</t>
  </si>
  <si>
    <t>SUBTOTAL TRANSFERENCIAS CORRIENTES</t>
  </si>
  <si>
    <t>INVERSION</t>
  </si>
  <si>
    <t>FORTALECIMIENTO DE LOS SISTEMAS DE INFORMACIÓN DEL EMPLEO PÚBLICO EN COLOMBIA</t>
  </si>
  <si>
    <t>1498</t>
  </si>
  <si>
    <t>1996</t>
  </si>
  <si>
    <t>MEJORAMIENTO DE LA INFRAESTRUCTURA PROPIA DEL SECTOR</t>
  </si>
  <si>
    <t>MEJORAMIENTO DE LA GESTION DE LAS POLITICAS PUBLICAS A TRAVES DE LAS TECNOLOGIAS DE INFORMACION TICS</t>
  </si>
  <si>
    <t>SUBTOTAL PROYECTOS DE INVERSIÓN</t>
  </si>
  <si>
    <t>pruebas</t>
  </si>
  <si>
    <t>RUBROS PRESUPUESTALES - PAA</t>
  </si>
  <si>
    <t>SALDO PARA COMPROMETER</t>
  </si>
  <si>
    <t>DIFERENCIA</t>
  </si>
  <si>
    <t>% EJECUCIÓN DEL PAA POR RUBRO</t>
  </si>
  <si>
    <t>SUBTOTAL FUNCIONAMIENTO</t>
  </si>
  <si>
    <t>SUBTOTAL INVERSIÓN</t>
  </si>
  <si>
    <t>GRAN TOTAL</t>
  </si>
  <si>
    <t>Compra de computadores portátiles para el servicio integral que presta la entidad</t>
  </si>
  <si>
    <t>Adicionar contrato de vehiculos $6,200,000 millones</t>
  </si>
  <si>
    <t>TRASLADO ENTRE BRUBROS</t>
  </si>
  <si>
    <t>PLAN ANUAL DE ADQUISICIONES 2018</t>
  </si>
  <si>
    <t>Somos la entidad líder del Sector Función Pública, comprometida con la gestión eficiente del Estado colombiano. Fomentamos el desarrollo de las instituciones y de su talento humano promoviendo en las entidades públicas colombianas una gestión efectiva e integral.</t>
  </si>
  <si>
    <r>
      <t>Funcionamiento:</t>
    </r>
    <r>
      <rPr>
        <sz val="22"/>
        <color indexed="8"/>
        <rFont val="Calibri"/>
        <family val="2"/>
      </rPr>
      <t xml:space="preserve"> </t>
    </r>
    <r>
      <rPr>
        <sz val="20"/>
        <color indexed="8"/>
        <rFont val="Calibri"/>
        <family val="2"/>
      </rPr>
      <t xml:space="preserve">$18.287´435.459
Inversión CSF: $11.990´678.600     SSF:                   </t>
    </r>
  </si>
  <si>
    <t>Prestar servicios profesionales para apoyar al Grupo de Gestión Administrativa de la Función Pública (sistema de detecciónde incendios)</t>
  </si>
  <si>
    <t>1 0 2 12 10 HONORARIOS</t>
  </si>
  <si>
    <t xml:space="preserve">Instalación sistema de toboganes para evacuación de emergencia </t>
  </si>
  <si>
    <t>MENOR CUANTÍA</t>
  </si>
  <si>
    <t>Planta electrica 500 KVA</t>
  </si>
  <si>
    <t>mayo</t>
  </si>
  <si>
    <t>16 MESES</t>
  </si>
  <si>
    <t>PENDIENTE</t>
  </si>
  <si>
    <t>Contratar el servicio de Mantenimiento y cargue de extintores de la Función Pública, incluidos repuestos.</t>
  </si>
  <si>
    <t xml:space="preserve">Revisión, mantenimiento preventivo y correctivo de los sistemas de sonido ambiental, hidráulico y sanitario  </t>
  </si>
  <si>
    <t>Adecuación,  mantenimiento preventivo y correctivo de los sistemas de detección y extinción de incendios , incluidos repuestos.</t>
  </si>
  <si>
    <t>72101510
72101511    72101508</t>
  </si>
  <si>
    <t>Reparaciones locativas pisos9,  8 y 5 Humedades fachadas y culatas.</t>
  </si>
  <si>
    <t>1 0 4 5 1 MANTENIMIENTO DE BIENES INMUEBLES</t>
  </si>
  <si>
    <t>80101500
80101600
80101509</t>
  </si>
  <si>
    <t>Diagnostico, diseño y especificaciones técnicas sistema de iluminación del edificio zonas de oficinas</t>
  </si>
  <si>
    <t>CONCURSO DE MERITOS</t>
  </si>
  <si>
    <t>Cambio de orinales por orinales sin agua tecnologia seca incluye compra de cartucho de trampa quimica</t>
  </si>
  <si>
    <t>Adquisición e instalación de Torres de sonido para el auditorio</t>
  </si>
  <si>
    <t>Adquirir el servicio de mantenimiento preventivo y correctivo, suministro e instalación de repuestos y mano de obra, para los vehiculos que componen el parque automotor del Departamento Administrativo de la Función Pública.</t>
  </si>
  <si>
    <t>36 MESES</t>
  </si>
  <si>
    <t xml:space="preserve">2 0 4 5 6 MANTENIMIENTO EQUIPO DE NAVEGACIÓN Y TRANSPORTE </t>
  </si>
  <si>
    <t>Servicio de vigilancia y recepción en el edificio sede de Función Pública</t>
  </si>
  <si>
    <t xml:space="preserve">2 0 4 5 10 SERVICIO DE SEGURIDAD Y VIGILANCIA </t>
  </si>
  <si>
    <t>Adquisición de Fotocopiadora</t>
  </si>
  <si>
    <t>Adquisición de Unidades de Imagen para Impresoras lexmark</t>
  </si>
  <si>
    <t>Adquisición de Impresoras Multifuncionales</t>
  </si>
  <si>
    <t>Reparación mesa sala de juntas de la dirección</t>
  </si>
  <si>
    <t>46171621
46171622</t>
  </si>
  <si>
    <t>Soporte y Mantenimiento CCTV Circuito Cerrado de televisión del edificio sede de Función Pública</t>
  </si>
  <si>
    <t>43211714
44103206</t>
  </si>
  <si>
    <t xml:space="preserve">Soporte técnico y mantenimiento del sistema biométrico del Departamento </t>
  </si>
  <si>
    <t>11,5 MESES</t>
  </si>
  <si>
    <t>Comercialización de bienes muebles dados de baja del propiedad del DAFP</t>
  </si>
  <si>
    <t>SUBDIRECCIÓN- GRUPODE GESTIÓN ADMINISTRATIVA</t>
  </si>
  <si>
    <t>C-0505 1000-2 RECURSO 10 IMPLEMENT Y FORTALECIM  DE LAS POLÍTICAS PÚBLICAS A NIVEL NACIONAL</t>
  </si>
  <si>
    <t>SECRETARIA GENERAL - GRUPO DE GESTIÓN DOCUMENTAL</t>
  </si>
  <si>
    <t>JUDY MAGALI RODRIGUEZ SANTANA EXT. 420 jrodriguez@funcionpublica.gov.co</t>
  </si>
  <si>
    <t>GRUPO DE GESTION  DOCUMENTAL</t>
  </si>
  <si>
    <t>Rótulos presaplique REF 3611 Tamaño 107.9 x 46.5 mm</t>
  </si>
  <si>
    <t>Rollo cinta térmica Datamax mclass</t>
  </si>
  <si>
    <t>Rollo de sticker para impresora Datamax mclass</t>
  </si>
  <si>
    <t>Carpetas Cuatro Aletas</t>
  </si>
  <si>
    <t>Cajas X200</t>
  </si>
  <si>
    <t>SECRETARÍA GENERAL - GRUPO DE GESTIÓN HUMANA</t>
  </si>
  <si>
    <t>GRUPO DE GESTIÓN HUMANA</t>
  </si>
  <si>
    <t>Adquirir scaner para la digitalización de historias laborales de los servidores de la Entidad</t>
  </si>
  <si>
    <t>Compra de desfibrilador  de conformidad con la Ley 1831 del 2 de mayo de 2017</t>
  </si>
  <si>
    <t>Compra e instalación de elementos para realizar actividad fisica en el marco del Progra de Entorno Laboral Saludable</t>
  </si>
  <si>
    <t>Convoca a Concurso abierto de méritos para proveer definitivamente los empleos vacantes de la planta de personal perteneciente al Sistema General de Carrera Administrativa del Departamento Adminsitrativo de la Función Pública</t>
  </si>
  <si>
    <t>Adquirir un de Sistema de información para la administración del Talento Humano,</t>
  </si>
  <si>
    <t>3 0 4 1 8 SOFTWARE</t>
  </si>
  <si>
    <t xml:space="preserve">OFICINA DE TECNOLOGIAS DE LA INFORMACIÓN Y LAS COMUNICACIONES </t>
  </si>
  <si>
    <t>Adquisición de perifericos</t>
  </si>
  <si>
    <t>Iimplementación de la tercera fase de la estrategia de Gobierno en Línea</t>
  </si>
  <si>
    <t>C-0505-1000-1 RECURSO 10 DESARROLLO Y FORTALECIM DE CAPACIDADES DE DE LAS ENTIDADES TERRITORIALES DE LA CIRCUNSCRIPCION NACIONAL</t>
  </si>
  <si>
    <t xml:space="preserve">Compra de computadores </t>
  </si>
  <si>
    <t>Renovación del soporte del software de backup</t>
  </si>
  <si>
    <t>Soporte de las SAN</t>
  </si>
  <si>
    <t>Compra de servidores</t>
  </si>
  <si>
    <t>Audiencia Publica de Rendición de Cuentas de Función Pública.</t>
  </si>
  <si>
    <t>GUILLERMO MARTINEZ TEL. 7395657 EXT. 855 gmartinez@funcionpublica.gov.co</t>
  </si>
  <si>
    <t xml:space="preserve"> GRUPO DE GESTION FINANCIERA</t>
  </si>
  <si>
    <t>Prestar servicios profesionales para apoyar a la DIRECCION GENERAL de Función Pública</t>
  </si>
  <si>
    <t>FERNANDO AUGUSTO MEDINA EXT. 910 fmedina@funcionpublica.gov.co</t>
  </si>
  <si>
    <t>DIRECCIÓN GENERAL - EQUIPO CAMBIO CULTURAL</t>
  </si>
  <si>
    <t>Prestar servicios profesionales para apoyar a la DIRECCION GENERAL - EQUIPO CAMBIO CULTURAL de Función Pública</t>
  </si>
  <si>
    <t>DIRECCIÓN GENERAL - EQUIPO GESTIÓN INTERNACIONAL</t>
  </si>
  <si>
    <t>Prestar servicios profesionales para apoyar a la DIRECCION GENERAL - EQUIPO GESTION INTERNACIONAL de Función Pública</t>
  </si>
  <si>
    <t>DIRECCIÓN GENERAL - EQUIPO CONSTRUCCIÓN DE PAZ</t>
  </si>
  <si>
    <t>Prestar servicios profesionales para apoyar a la DIRECCION GENERAL - EQUIPO CONSTRUCCION DE PAZ de Función Pública</t>
  </si>
  <si>
    <t>Prestar servicios profesionales para apoyar a la SUBDIRECCION de Función Pública</t>
  </si>
  <si>
    <t>Prestar servicios profesionales para apoyar a la SECRETARIA GENERAL de Función Pública</t>
  </si>
  <si>
    <t>ANGELA MARIA GONZALEZ Ext. 801 amgonzalez@funcionpublica.gov.co</t>
  </si>
  <si>
    <t>Prestar servicios profesionales para apoyar a la SECRETARÍA GENERAL - GRUPO GESTIÓN CONTRACTUAL de Función Pública</t>
  </si>
  <si>
    <t>DORIS ATAHUALPA EXT. 401 datahualpa@funcionpublica.gov.co</t>
  </si>
  <si>
    <t>Prestar servicios de apoyo a la gestión en la  SECRETARÍA GENERAL - GRUPO GESTIÓN CONTRACTUAL de Función Pública</t>
  </si>
  <si>
    <t>SECRETARÍA GENERAL - GRUPO DE SERVICIO AL CIUDADANO INSTITUCIONAL</t>
  </si>
  <si>
    <t>Prestar servicios profesionales para apoyar a la SECRETARÍA GENERAL - GRUPO DE SERVICIO AL CIUDADANO INSTITUCIONAL de Función Pública</t>
  </si>
  <si>
    <t>JAIME JIMENEZ ext. 300 jjimenez@funcionpublica.gov.co</t>
  </si>
  <si>
    <t>SECRETARÍA GENERAL - GRUPO DE GESTIÓN DOCUMENTAL</t>
  </si>
  <si>
    <t>Prestar servicios profesionales para apoyar a la SECRETARÍA GENERAL - GRUPO GESTIÓN DOCUMENTAL de Función Pública</t>
  </si>
  <si>
    <t>Prestar servicios profesionales para apoyar a la SECRETARÍA GENERAL - GRUPO GESTIÓN ADMINISTRATIVA  de Función Pública</t>
  </si>
  <si>
    <t>DIRECCIÓN DE DESARROLLO ORGANIZACIONAL</t>
  </si>
  <si>
    <t>Prestar servicios profesionales para apoyar a la DIRECCION DE DESARROLLO ORGANIZACIONAL de Función Pública</t>
  </si>
  <si>
    <t>ALEJANDRO BECKER  Ext. 820 abecker@funcionpublica.gov.co</t>
  </si>
  <si>
    <t>Prestar servicios profesionales para apoyar a la DIRECCION DE EMPLEO PUBLICO de Función Pública</t>
  </si>
  <si>
    <t>FRANCISCO CAMARGO SALAS, Ext. 700 fcamargo@funcionpublica.gov.co</t>
  </si>
  <si>
    <t>Prestar servicios profesionales para apoyar a la DIRECCION DE GESTION DEL CONOCIMIENTO de Función Pública</t>
  </si>
  <si>
    <t>DIEGO BELTRAN
Ext. 920
dbeltran@funcionpublica.gov.co</t>
  </si>
  <si>
    <t>Prestar servicios profesionales para apoyar a la DIRECCION GESTION Y DESEMPEÑO INSTITUCIONAL de Función Pública</t>
  </si>
  <si>
    <t>DIRECCIÓN PARTICIPACIÓN TRANSPARENCIA Y SERVICIO AL CIUDADANO</t>
  </si>
  <si>
    <t>Prestar servicios profesionales para apoyar a la DIRECCION PARTICIPACION TRANSPARENCIA Y SERVICIO AL CIUDADANO de Función Pública</t>
  </si>
  <si>
    <t>FERNANDO SEGURA EXT. 630 fsegura@funcionpublica.gov.co</t>
  </si>
  <si>
    <t>Prestar servicios de apoyo a la gestión en la  DIRECCION JURIDICA de Función Pública</t>
  </si>
  <si>
    <t>CLAUDIA PATRICIA HERNANDEZ Tel 7395656 ext 741 chernandez@funcionpública.gov.co</t>
  </si>
  <si>
    <t>Prestar servicios profesionales para apoyar a la DIRECCION JURIDICA de Función Pública</t>
  </si>
  <si>
    <t xml:space="preserve">80121500
80121600
80121700
80121800
</t>
  </si>
  <si>
    <t>Vigilancia judicial</t>
  </si>
  <si>
    <t>Prestar servicios profesionales para apoyar a la OFICINA DE TECNOLOGIAS DE LA INFORMACION Y LAS COMUNICACIONES de Función Pública</t>
  </si>
  <si>
    <t>OFICINA ASESORA DE COMUNICACIONES</t>
  </si>
  <si>
    <t>Prestar servicios profesionales para apoyar a la OFICINA ASESORA DE COMUNICACIONES de Función Pública</t>
  </si>
  <si>
    <t>DIANA BOHORQUEZ Ext. 520 dbohorquez@funcionpublica.gov.co</t>
  </si>
  <si>
    <t>Prestar servicios profesionales para apoyar a la OFICINA ASESORA DE PLANEACION de Función Pública</t>
  </si>
  <si>
    <t>Prestar servicios de apoyo a la gestión en la  SECRETARIA GENERAL de Función Pública</t>
  </si>
  <si>
    <t>Sobres especiales (Para envio cartilla y plegable) Tipo polybag de 12 x 15,5</t>
  </si>
  <si>
    <t>MARIA DEL PILAR GARCÍA EXT. 610 mpgarcia@funcionpublica.gov.co</t>
  </si>
  <si>
    <t>DIRECCIÓN DE GESTIÓN Y DESEMPEÑO INSTITUCIONAL - GRUPO GESTIÓN MERITOCRÁTICA</t>
  </si>
  <si>
    <t>Tajalápiz eléctrico</t>
  </si>
  <si>
    <t>Contrato de tiquetes aereos en desarrollo del proyecto de inversión de fortalecimiento de las políticas</t>
  </si>
  <si>
    <t>Licencias Project</t>
  </si>
  <si>
    <t>Material didáctico para desarrollo de los programas de Función Pública  Código de Integridad.</t>
  </si>
  <si>
    <t>Contrato de Tiquetes aéreos al exterior - ponencias</t>
  </si>
  <si>
    <t>Total comprometido del valor asignado por el proyecto</t>
  </si>
  <si>
    <t>DESARROLLO Y FORTALECIMIENTO DE LAS CAPACIDADES DE LAS ENTIDADES TERRITORIALES  DE LA CIRCUNSCRIPCIÓN NACIONAL</t>
  </si>
  <si>
    <t>contratista</t>
  </si>
  <si>
    <t>CAMILO ANDRÉS MUÑOZ PEÑA</t>
  </si>
  <si>
    <t>CARLOS EDUARDO HERNÁNDEZ VALDEBLANQUEZ</t>
  </si>
  <si>
    <t>ANDRÉS FELIPE SEGURA ARNAIZ</t>
  </si>
  <si>
    <t>GIOVANNI GUATIBONZA CARREÑO</t>
  </si>
  <si>
    <t>SONIA OSORIO VESGA</t>
  </si>
  <si>
    <t>JULIÁN ALBERTO TRUJILLO MARÍN</t>
  </si>
  <si>
    <t>DANIEL ASDRÚBAL ROMERO GONZÁLEZ</t>
  </si>
  <si>
    <t>DIANA PATRICIA BERMUDEZ CETINA</t>
  </si>
  <si>
    <t>JULY AMANDA MUÑOZ</t>
  </si>
  <si>
    <t>CLARA INÉS COLLAZOS MARTÍNEZ</t>
  </si>
  <si>
    <t>LINA MARÍA AYCARDI</t>
  </si>
  <si>
    <t>JAIME ANDRÉS URAZÁN LEAL</t>
  </si>
  <si>
    <t>YULY VERONICA RUEDA PÉREZ</t>
  </si>
  <si>
    <t>ALEXANDER MÁRQUEZ RÍOS</t>
  </si>
  <si>
    <t>JAZMITH ADRIANA ROJAS</t>
  </si>
  <si>
    <t>LEIDY CAROLINA MOGOLLÓN DELGADO</t>
  </si>
  <si>
    <t>ANA MILENA CÁCERES CASTRO</t>
  </si>
  <si>
    <t>NATALIA ANDREA GONZÁLEZ PUIN</t>
  </si>
  <si>
    <t>JAVIER LEÓN RICARDO SÁNCHEZ LIZARAZO</t>
  </si>
  <si>
    <t>PATRICIA GALINDO ARIAS</t>
  </si>
  <si>
    <t>VÍCTOR HUGO JAUREGUI PAZ</t>
  </si>
  <si>
    <t>JACK LEONARDO MARTÍNEZ VANEGAS</t>
  </si>
  <si>
    <t>PEDRO ANTONIO GARCÍA MEDINA</t>
  </si>
  <si>
    <t>LUIS ARÉVALO</t>
  </si>
  <si>
    <t>JORGE GIRALDO</t>
  </si>
  <si>
    <t>EDGAR VELOSA</t>
  </si>
  <si>
    <t>JOHANNA JIMÉNEZ CORREA</t>
  </si>
  <si>
    <t>JUAN DAVID CAMACHO PIÑEROS</t>
  </si>
  <si>
    <t>COMPROMISO SIN ASIGNACION PRESUPUESTAL.</t>
  </si>
  <si>
    <t>C-0599-1000-2 RECURSO 10 TECNOLOGÍAS DE LA INFORMACIÓN</t>
  </si>
  <si>
    <t xml:space="preserve">Compra elementos para la ejecución de actividades internas de la Entidad </t>
  </si>
  <si>
    <t>Soporte, Mantenimniento y actualización del sistema de turnos web del edificio sede de Función Pública</t>
  </si>
  <si>
    <t xml:space="preserve">Revisión, mantenimiento preventivo y correctivo de los sistemas  de sonido ambiental, hidráulico y sanitario (repuestos) </t>
  </si>
  <si>
    <t>COMPROMISO AJUSTADO A LA DISPONIBILIDAD PRESUPUESTAL.</t>
  </si>
  <si>
    <t>Prestación de servicios profesionales  para implementación de normas internacionesl</t>
  </si>
  <si>
    <t>ANGELA MARÍA GONZÁLEZ  LOZADA
SECRETARIA GENERAL</t>
  </si>
  <si>
    <t>DISTRIBUCIÓN DEL PRESPUESTO DE FUNCIONAMIENTO DAFP 2018.</t>
  </si>
  <si>
    <t>Prestar el servicio de mantenimiento preventivo y correctivo, suministro e instalación de repuestos y mano de obra, para los vehiculos que componen el parque automotor del Departamento Administrativo de la Función Pública.</t>
  </si>
  <si>
    <t>218'747.761</t>
  </si>
  <si>
    <t>21'874.776,10</t>
  </si>
  <si>
    <t>Prestación de servicios profesionales  en la Secretaría General - Grupo de Gestión Financiera de Función Pública</t>
  </si>
  <si>
    <t>Solución de software de backup</t>
  </si>
  <si>
    <t>Renovación licenciamiento CRM</t>
  </si>
  <si>
    <t>11, 5 MESES</t>
  </si>
  <si>
    <t>SALDO PARA CONTRATO EN OCTUBRE POR 36 MESES $3.000.000</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</si>
  <si>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</si>
  <si>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Enaltecer al servidor público y su labor y Consolidar una gestión pública moderna, eficiente, transparente, focalizada y participativa al servicio de los ciudadanos.</t>
  </si>
  <si>
    <t>C-0505 1000-2 RECURSO 11 IMPLEMENT Y FORTALECIM  DE LAS POLÍTICAS PÚBLICAS A NIVEL NACIONAL</t>
  </si>
  <si>
    <t>SECRETARÍA GENERAL</t>
  </si>
  <si>
    <t>Prestar servicios profesionales para apoyar a la SECRETARÍA GENERAL  de Función Pública</t>
  </si>
  <si>
    <t>SECRETARÍA GENERAL - GRUPO DE GESTION HUMANA</t>
  </si>
  <si>
    <t>Prestar servicios profesionales para apoyar a la SECRETARÍA GENERAL - GRUPO DE GESTION HUMANA de Función Pública</t>
  </si>
  <si>
    <t>OFICINA ASESORA DE CONTROL INTERNO</t>
  </si>
  <si>
    <t>Prestar servicios profesionales para apoyar a la OFICINA ASESORA DE CONTROL INTERNO de Función Pública</t>
  </si>
  <si>
    <t>LUZ STELLA PATIÑO Ext. 600 lpatino@funcionpublica.gov.co</t>
  </si>
  <si>
    <t>JUAN MAURICIO CORNEJO RODRIGUEZ</t>
  </si>
  <si>
    <t>C-0505-1000-1 RECURSO 11 DESARROLLO Y FORTALECIM DE CAPACIDADES DE DE LAS ENTIDADES TERRITORIALES DE LA CIRCUNSCRIPCION NACIONAL</t>
  </si>
  <si>
    <r>
      <t xml:space="preserve">DESARROLLO Y FORTALECIMIENTO DE LAS CAPACIDADES DE LAS ENTIDADES TERRITORIALES  DE LA CIRCUNSCRIPCIÓN NACIONAL </t>
    </r>
    <r>
      <rPr>
        <b/>
        <sz val="14"/>
        <color rgb="FFFF0000"/>
        <rFont val="Arial"/>
        <family val="2"/>
      </rPr>
      <t>ESAP</t>
    </r>
  </si>
  <si>
    <r>
      <t>Funcionamiento:</t>
    </r>
    <r>
      <rPr>
        <sz val="22"/>
        <rFont val="Calibri"/>
        <family val="2"/>
      </rPr>
      <t xml:space="preserve"> </t>
    </r>
    <r>
      <rPr>
        <sz val="20"/>
        <rFont val="Calibri"/>
        <family val="2"/>
      </rPr>
      <t xml:space="preserve">$18.287´435.459
Inversión CSF: $11.990´678.600     SSF:  $10´000.000.000              </t>
    </r>
  </si>
  <si>
    <t>actualización del sistema de turnos web del edificio sede de Función Pública</t>
  </si>
  <si>
    <t>MINIMA CUIANTÍA</t>
  </si>
  <si>
    <t>SUBDIRECCIÓN- GRUPO GESTIÓN ADMINISTRATIVA</t>
  </si>
  <si>
    <t>10  MESES</t>
  </si>
  <si>
    <t>COMERCIALIZACIÓN DE BIENES MUEBLES DADOS DE BAJA - CISA</t>
  </si>
  <si>
    <t>TOTALES</t>
  </si>
  <si>
    <t>C-0599-1000-2 RECURSO 11 TECNOLOGÍAS DE LA INFORMACIÓN</t>
  </si>
  <si>
    <t xml:space="preserve">Adquirir el licenciamiento para el sistema de monitoreo ORION  que le permita verificar el estado de su Red frente a:  Servidores, Servicios, Equipos de comunicación y aplicaciones. </t>
  </si>
  <si>
    <t>Adquirir la renovación de la suscripción del licenciamiento Suite Adobe Creative Cloud durante doce (12) meses</t>
  </si>
  <si>
    <t>reservar saldo para adicion contratos y renovación en agosto.</t>
  </si>
  <si>
    <t>PLAN ANUAL DE ADQUISICIONES 2018 DAFP</t>
  </si>
  <si>
    <t>OFICINA DE TECNOLOGÍAS DE LA INFORMACIÓN Y LAS COMUNICACIONES</t>
  </si>
  <si>
    <t>Soporte extendido SIGEP</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</si>
  <si>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</si>
  <si>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No</t>
  </si>
  <si>
    <t>INVERSION ESTIMADO</t>
  </si>
  <si>
    <t xml:space="preserve">FUNCIONAMIENTO </t>
  </si>
  <si>
    <t>Valores estimados</t>
  </si>
  <si>
    <t>valores contratados</t>
  </si>
  <si>
    <t>valores pendientes de contratar</t>
  </si>
  <si>
    <t>VERIFICA</t>
  </si>
  <si>
    <t>rubros DEL Paa</t>
  </si>
  <si>
    <t>Prestar servicios de apoyo a la DIRECCION GESTION Y DESEMPEÑO INSTITUCIONAL de Función Pública</t>
  </si>
  <si>
    <t>Prestar servicios de apoyo a la gestión en la DIRECCION GENERAL de Función Pública</t>
  </si>
  <si>
    <t>Prestar servicios de apoyo en la DIRECCION DE GESTION DEL CONOCIMIENTO de Función Pública</t>
  </si>
  <si>
    <t>Prestar servicios profesionales para apoyar a la SECRETARIA GENERAL - GRUPO DE GESTION ADMINISTRATIVA  de la Función Púbica en el marco del Proyecto "Mejoramiento, Fortalecimiento de la Capacidad Institucional para el Desarrollo de Políticas Públicas. Nacional"</t>
  </si>
  <si>
    <t>NA</t>
  </si>
  <si>
    <t>JULIAN MAURICIO MARTINEZ Ext. 400</t>
  </si>
  <si>
    <r>
      <t xml:space="preserve">IMPLEMENTACIÓN Y FORTALECIMIENTO DE POLÍTICAS LIDERADAS POR FUNCION PUBLICA A NIVEL NACIONAL </t>
    </r>
    <r>
      <rPr>
        <b/>
        <sz val="14"/>
        <color rgb="FFFF0000"/>
        <rFont val="Arial"/>
        <family val="2"/>
      </rPr>
      <t>ESAP</t>
    </r>
  </si>
  <si>
    <t>IMPLEMENTACIÓN Y FORTALECIMIENTO DE POLÍTICAS LIDERADAS POR FUNCION PUBLICA A NIVEL NACIONAL</t>
  </si>
  <si>
    <t>Solución de envío de correo masivo para Función Pública</t>
  </si>
  <si>
    <t>global</t>
  </si>
  <si>
    <t>Soporte, Mantenimiento del sistema de turnos web del edificio sede de Función Pública</t>
  </si>
  <si>
    <t xml:space="preserve">Pruebas Test de Wartegg, para la evaluación de competencias laborales </t>
  </si>
  <si>
    <t xml:space="preserve">Pruebas Kompe Estatal- Códigos de Acceso PIN </t>
  </si>
  <si>
    <t>Prestar servicios profesionales en la Subdirección de Función Pública</t>
  </si>
  <si>
    <t>Enero</t>
  </si>
  <si>
    <t>MO</t>
  </si>
  <si>
    <t>el saldo es para adicionar contrato actual en $32.622.785</t>
  </si>
  <si>
    <t>5 MESES</t>
  </si>
  <si>
    <t>4,5 MESES</t>
  </si>
  <si>
    <t>046-2018</t>
  </si>
  <si>
    <t>ORGANIZACIÓN TERPEL S.A.</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</si>
  <si>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</si>
  <si>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 xml:space="preserve">PRESTACION DE SERVICIOS </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</si>
  <si>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</si>
  <si>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</si>
  <si>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</si>
  <si>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 xml:space="preserve">GRUPO DE GESTION ADMINISTRATIVA </t>
  </si>
  <si>
    <t>143-2018</t>
  </si>
  <si>
    <t>E &amp; M INGENIERIA S.A.S.</t>
  </si>
  <si>
    <t>Adquirir la suscripción, soporte técnico, transferencia de conocimientos y mantenimiento del Sistema de Turnos Web, de la entidad.</t>
  </si>
  <si>
    <t>CONTRATO DE COMPRAVENTA</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</si>
  <si>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</si>
  <si>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</si>
  <si>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</si>
  <si>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145-2018</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</si>
  <si>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</si>
  <si>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</si>
  <si>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PRESTACION DE SERVICIOS PROFESIONALES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</si>
  <si>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</si>
  <si>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veintiocho (28) de diciembre de 2018, de conformidad con lo estipulado por el Acuerdo Marco de Precios de Colombia Compra Eficiente.</t>
  </si>
  <si>
    <t>JULIAN MAURICIO MARTINEZ ALVARADO</t>
  </si>
  <si>
    <t>140-2018</t>
  </si>
  <si>
    <t>CATALINA MENDIETA SUAREZ</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</si>
  <si>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</si>
  <si>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PRESTACION DE SERVICIOS DE APOYO A LA GESTION</t>
  </si>
  <si>
    <t>Ocho (8) mensualidades vencidas, cada una por valor de DOS MILLONES DE PESOS ($2.000.000) M/CTE.</t>
  </si>
  <si>
    <t>Ocho (8) meses, contado a partir del perfeccionamiento del mismo y registro presupuestal.</t>
  </si>
  <si>
    <t>DIRECCION GENERAL</t>
  </si>
  <si>
    <t>141-2018</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</si>
  <si>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</si>
  <si>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</si>
  <si>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</si>
  <si>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</si>
  <si>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</si>
  <si>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</si>
  <si>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018-2018</t>
  </si>
  <si>
    <t>Prestar servicios profesionales en la Oficina Asesora de Planeación de Función Pública para apoyar la articulación del Sistema Integrado de Gestión de la Entidad con el Modelo Integrado de Planeación y Gestión (MIPG).</t>
  </si>
  <si>
    <t>Cinco (5) mensualidades vencidas, cada una por valor de CINCO MILLONES OCHO MIL PESOS ($5.008.000) M/CTE</t>
  </si>
  <si>
    <t>Cinco (05) meses, contado a partir del perfeccionamiento del mismo y registro presupuestal.</t>
  </si>
  <si>
    <t xml:space="preserve">OLGA LUCÍA ARANGO  </t>
  </si>
  <si>
    <t>007-2018</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</si>
  <si>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</si>
  <si>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</si>
  <si>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</si>
  <si>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LAURA CORDOBA REYES</t>
  </si>
  <si>
    <t>038-2018</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</si>
  <si>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</si>
  <si>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Cinco (5) mensualidades vencidas, cada una por valor de SIETE MILLONES SETECIENTOS CINCUENTA Y TRES MIL DE PESOS ($7.753.000) M/CTE.</t>
  </si>
  <si>
    <t xml:space="preserve">GUILLERMO MARTINEZ DAZA </t>
  </si>
  <si>
    <t>087-2018</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</si>
  <si>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</si>
  <si>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Dos (2) mensualidades vencidas, cada una por valor de SIETE MILLONES QUINIENTOS MIL PESOS ($7’500.000) M/CTE.</t>
  </si>
  <si>
    <t xml:space="preserve">Dos (2) meses, contado a partir del perfeccionamiento del mismo y registro presupuestal. </t>
  </si>
  <si>
    <t xml:space="preserve">NOHORA CONSTANZA SIABATO LOZANO  </t>
  </si>
  <si>
    <t>GRUPO DE GESTION FINANCIERA</t>
  </si>
  <si>
    <t>014-2018</t>
  </si>
  <si>
    <t>ANDRES FELIPE SEGURA ARNAIZ</t>
  </si>
  <si>
    <t>Prestar servicios profesionales en la Dirección General de la Función Pública para apoyar el cumplimiento de los objetivos y metas estratégicas institucionales, asi como la comunicación y divulgacion de producto</t>
  </si>
  <si>
    <t>Cinco (5) mensualidades vencidas, cada una por valor de ONCE MILLONES DE PESOS ($11’000.000) M/CTE.</t>
  </si>
  <si>
    <t>020-2018</t>
  </si>
  <si>
    <t>MARIA HERRERA PARDO</t>
  </si>
  <si>
    <t>Prestar servicios profesionales en la Direccion General  de Función Pública, para apoyar desde una perspectiva comunicacional, la implementación y consolidación de la Estrategia de Cambio Cultural.</t>
  </si>
  <si>
    <t>Cinco (5) mensualidades vencidas, cada una por valor de TRES MILLONES OCHOCIENTOS NOVENTA YCINCO MIL PESOS ($3’895.000) M/CTE.</t>
  </si>
  <si>
    <t>136-2018</t>
  </si>
  <si>
    <t xml:space="preserve">Prestar servicios profesionales en la Dirección General de la Función Pública para apoyar la articulación, implementación, seguimiento y evaluación de la Estrategia de Pedagogía y Construcción de Paz y de la Estrategia de Cambio Cultural. </t>
  </si>
  <si>
    <t>Cinco (5) mensualidades vencidas, cada una por valor de NUEVE MILLONES QUINIENTOS MIL PESOS ($9.500.000) M/CTE.</t>
  </si>
  <si>
    <t>010-2018</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</si>
  <si>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</si>
  <si>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</si>
  <si>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</si>
  <si>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022-2018</t>
  </si>
  <si>
    <t>LINA MARIA RICAURTE SIERRA</t>
  </si>
  <si>
    <t>Prestar servicios profesionales en la Dirección General de Función Pública, para apoyar las actividades relacionadas con la implementación y seguimiento de la Estrategia de Gestión Internacional de la Entidad.</t>
  </si>
  <si>
    <t>Cinco (5) mensualidades vencidas, cada una por valor de TRES MILLONES OCHOCIENTOS NOVENTA Y CINCO MIL PESOS ($3.895.000) M/CTE.</t>
  </si>
  <si>
    <t xml:space="preserve">JULIANA TORREO QUIJANO </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</si>
  <si>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</si>
  <si>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</si>
  <si>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</si>
  <si>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030-2018</t>
  </si>
  <si>
    <t>SONIA ESTHER OSORIO VESGA</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</si>
  <si>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</si>
  <si>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Cinco (5) mensualidades vencidas, cada una por valor de NUEVE MILLONES DE PESOS ($9’000.000) M/CTE.</t>
  </si>
  <si>
    <t>FERNANDO AUGUSTO MEDINA GUTIERREZ</t>
  </si>
  <si>
    <t>004-2018</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</si>
  <si>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</si>
  <si>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</si>
  <si>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</si>
  <si>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</si>
  <si>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</si>
  <si>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Cinco (5) mensualidades vencidas, cada una por valor de TRES MILLONES TREINTA Y TRES MIL PESOS ($3’033.000) M/CTE.</t>
  </si>
  <si>
    <t>005-2018</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</si>
  <si>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</si>
  <si>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</si>
  <si>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</si>
  <si>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042-2018</t>
  </si>
  <si>
    <t>FERLEY RUIZ MORENO</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</si>
  <si>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</si>
  <si>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001-2018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</si>
  <si>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</si>
  <si>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</si>
  <si>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DORIS ATAHUALPA POLANCO</t>
  </si>
  <si>
    <t>GRUPO DE GESTION CONTRACTUAL</t>
  </si>
  <si>
    <t>002-2018</t>
  </si>
  <si>
    <t>DIANA BERMUDEZ CETINA</t>
  </si>
  <si>
    <t>044-2018</t>
  </si>
  <si>
    <t>JULY AMANDA MUÑOZ CHOACHI</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</si>
  <si>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</si>
  <si>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Cinco (5) mensualidades vencidas, cada una por valor de UN MILLÓN NOVECIENTOS NUEVE MIL PESOS ($1’909.000) M/CTE</t>
  </si>
  <si>
    <t>012-2018</t>
  </si>
  <si>
    <t>SERGIO MEJIA DUSSAN</t>
  </si>
  <si>
    <t>Prestar servicios profesionales en la Oficina Asesora de Planeación de Función Pública para apoyar la consolidación de información de entidades del orden territorial en el Sistema de Información Estratégica (SIE).</t>
  </si>
  <si>
    <t>Cinco (5) mensualidades vencidas, cada una por valor de CINCO MILLONES SETECIENTOS MIL PESOS ($5’700.000) M/CTE.</t>
  </si>
  <si>
    <t>006-2018</t>
  </si>
  <si>
    <t>Prestar servicios profesionales en el Grupo de Servicio al Ciudadano Institucional de Función Püblica, para apoyar el fortalecimiento del primer nivel de servicio en materia de producción  de información  y generación de reportes.</t>
  </si>
  <si>
    <t>Cinco (5) mensualidades vencidas, cada una por valor de CINCO MILLONES DOSCIENTOS TREINTA Y UN MIL PESOS ($5’231.000) M/CTE.</t>
  </si>
  <si>
    <t>JAIME HUMBERTO JIMENEZ VERGEL</t>
  </si>
  <si>
    <t>GRUPO DE SERVICIO AL CIUDADANO INSTITUCIONAL</t>
  </si>
  <si>
    <t>098-2018</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</si>
  <si>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</si>
  <si>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Ocho (8) mensualidades vencidas, cada una por valor de UN MILLON OCHOCIENTOS MIL PESOS ($1.800.000) M/CTE.</t>
  </si>
  <si>
    <t>NATALIA ASTRID CARDONA RAMIREZ</t>
  </si>
  <si>
    <t>034-2018</t>
  </si>
  <si>
    <t>CHRISTIAN ALEXANDER FLOREZ GUERRERO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</si>
  <si>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</si>
  <si>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Cinco (5) mensualidades vencidas, cada una por valor de SEIS MILLONES TRESCIENTOS MIL PESOS ($6’300.000) M/CTE.</t>
  </si>
  <si>
    <t>FRANCISCO ALFONSO CAMARGO SALAS</t>
  </si>
  <si>
    <t>DIRECCION DE EMPLEO PUBLICO</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</si>
  <si>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</si>
  <si>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</si>
  <si>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</si>
  <si>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</si>
  <si>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</si>
  <si>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</si>
  <si>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</si>
  <si>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</si>
  <si>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033-2018</t>
  </si>
  <si>
    <t>KAROL YOLIMA MERCHAN PARRA</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</si>
  <si>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</si>
  <si>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Seis (6) mensualidades vencidas, cada una por valor de CINCO MILLONES PESOS ($5’000.000) M/CTE.</t>
  </si>
  <si>
    <t>Seis (06) meses, contado a partir del perfeccionamiento del mismo y registro presupuestal.</t>
  </si>
  <si>
    <t>JUDY MAGALI RODRIGUEZ SANTANA</t>
  </si>
  <si>
    <t>GRUPO DE GESTION DOCUMENTAL</t>
  </si>
  <si>
    <t>009-2018</t>
  </si>
  <si>
    <t>Prestar servicios profesionales en Función Püblica para apoyar a la Entidad en materia de Gestión Ambiental, con el fin de dar cumplimiento a la normativa vigente, según lo contemplado den el Plan de Austeridad y Gestión Ambiental de la Entidad.</t>
  </si>
  <si>
    <t>Seis (6) mensualidades vencidas, cada una por valor de CINCO MILLONES TRESCIENTOS OCHENTA Y SEIS MIL SETECIENTOS PESOS ($5’386.700) M/CTE.</t>
  </si>
  <si>
    <t>013-2018</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</si>
  <si>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</si>
  <si>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</si>
  <si>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</si>
  <si>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ALEJANDRO BECKER ROJAS</t>
  </si>
  <si>
    <t xml:space="preserve">DIRECCION DE DESARROLLO ORGANIZACIONAL  </t>
  </si>
  <si>
    <t>029-2018</t>
  </si>
  <si>
    <t>ROSA MARIA BOLAÑOS TOVAR</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</si>
  <si>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</si>
  <si>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Cinco (5) mensualidades vencidas, cada una por valor de CIINCO MILLONES OCHO MIL PESOS ($5’008.000) M/CTE.</t>
  </si>
  <si>
    <t>032-2018</t>
  </si>
  <si>
    <t>LINA MARÍA AYCARDI ALDANA</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</si>
  <si>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</si>
  <si>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Cinco (5) mensualidades vencidas, cada una por valor de NUEVE MILLONES DE PESOS ($9.000.000) M/CTE</t>
  </si>
  <si>
    <t>031-2018</t>
  </si>
  <si>
    <t>JAIME ANDRES URAZAN LEAL</t>
  </si>
  <si>
    <t>Prestar servicios profesionales en la Dirección de Deasarrollo Organizacional de Función Pública, para apoyar los aspectos técnicos, metodológicos y financieros relacionados con la implementación de la tercera fase de la Estrategia de Gestión Territorial.</t>
  </si>
  <si>
    <t>Cinco (5) mensualidades vencidas, cada una por valor de SIETE MILLONES CIENTO SESENTA Y SEIS MIL PESOS ($7’166.000) M/CTE.</t>
  </si>
  <si>
    <t>050-2018</t>
  </si>
  <si>
    <t>DORIS JULIETA GONZÁLEZ AREVALO</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</si>
  <si>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</si>
  <si>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Cinco (5) mensualidades vencidas, cada una por valor de DOS MILLONES OCHOCIENTOS MIL PESOS ($2’800.000) M/CTE.</t>
  </si>
  <si>
    <t>DIANA MARCELA GOMEZ ANZOLA</t>
  </si>
  <si>
    <t>GRUPO DE GESTION HUMANA</t>
  </si>
  <si>
    <t>021-2018</t>
  </si>
  <si>
    <t>LEIDY CAROLINA MOGOLLON DELGADO</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</si>
  <si>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</si>
  <si>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Cinco (5) mensualidades vencidas, cada una por valor de CUATRO MILLONES OCHOCIENTOS NOVENTA Y SIETE MIL PESOS ($4’897.000) M/CTE.</t>
  </si>
  <si>
    <t xml:space="preserve">DIEGO ALEJANDRO BELTRAN OGILVIE-BROWNE </t>
  </si>
  <si>
    <t>DIRECCION DE GESTION DEL CONOCIMIENTO</t>
  </si>
  <si>
    <t>025-2018</t>
  </si>
  <si>
    <t>SARA RESTREPO PEREZ</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</si>
  <si>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</si>
  <si>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035-2018</t>
  </si>
  <si>
    <t>LINA MARIA VASQUEZ CASTRO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</si>
  <si>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</si>
  <si>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Cinco (5) mensualidades vencidas de CINCO MILLONES DE PESOS ($5’000.000) M/CTE.</t>
  </si>
  <si>
    <t>ARLINGTON FONSECA</t>
  </si>
  <si>
    <t>DIRECCION DE GESTION Y DESEMPEÑO INSTITUCIONAL</t>
  </si>
  <si>
    <t>037-2018</t>
  </si>
  <si>
    <t>028-2018</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</si>
  <si>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</si>
  <si>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Cinco (5) mensualidades vencidas, cada una por valor de SIETE MILLONES TRESCIENTOS CINCUENTA MIL PESOS ($7’350.000) M/CTE.</t>
  </si>
  <si>
    <t>DIRECCION DE PARTICIPACION, TRANSPARENCIA Y SERVICIO AL CIUDADANO</t>
  </si>
  <si>
    <t>088-2018</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</si>
  <si>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</si>
  <si>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Cinco (5) mensualidades vencidas, cada una por valor de CUATRO MILLONES OCHOCIENTOS NOVENTA Y SIETE MIL PESOS ($4.897.000) M/CTE</t>
  </si>
  <si>
    <t>Cinco (5) meses, contado a partir del perfeccionamiento del mismo y registro presupuestal.</t>
  </si>
  <si>
    <t xml:space="preserve">SUSAN SIMONETH SUÁREZ GUTIÉRREZ </t>
  </si>
  <si>
    <t>024-2018</t>
  </si>
  <si>
    <t>LAURA CAMILA RONDON LIZARAZO</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</si>
  <si>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</si>
  <si>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 xml:space="preserve">FERNANDO AUGUSTO SEGURA RESTREPO </t>
  </si>
  <si>
    <t>036-2018</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</si>
  <si>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</si>
  <si>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026-2018</t>
  </si>
  <si>
    <t>ANA MILENA CACERES CASTRO</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</si>
  <si>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</si>
  <si>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</si>
  <si>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</si>
  <si>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</si>
  <si>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</si>
  <si>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</si>
  <si>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 xml:space="preserve">LUIS FERNANDO NUÑEZ RINCÓN </t>
  </si>
  <si>
    <t>DIRECCION JURIDICA</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</si>
  <si>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</si>
  <si>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</si>
  <si>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</si>
  <si>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</si>
  <si>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047-2018</t>
  </si>
  <si>
    <t>MARIA JOSE DEL RIO ARIAS</t>
  </si>
  <si>
    <t>Prestar servicios profesionales en la Dirección Jurídica de Función Pública, para apoyar todos los aspectos relativos a la Contratación Estatal, y a la expedición de conceptos.</t>
  </si>
  <si>
    <t>Cinco (5) mensualidades vencidas cada una por valor de SIETE MILLONES TRESCIENTOS CINCUENTA MIL PESOS ($7’350.000) M/CTE</t>
  </si>
  <si>
    <t>049-2018</t>
  </si>
  <si>
    <t>LUIS AREVALO MANTILLA</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</si>
  <si>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</si>
  <si>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Cinco (5) mensualidades vencidas, cada una por valor de CUATRO MILLONES SETECIENTOS MIL PESOS ($4’700.000) M/CTE.</t>
  </si>
  <si>
    <t>DIANA MARIA BOHORQUEZ LOSADA</t>
  </si>
  <si>
    <t>043-2018</t>
  </si>
  <si>
    <t>JORGE IVAN GIRALDO DIAZ</t>
  </si>
  <si>
    <t>Prestar servicios profesionales en la Oficina Asesora de Comunicaciones| de Función Pública, para apoyar la difusión de contenidos e información de la Entidad en redes sociales institucionales, en el marco de la estrategia de comunicaciones.</t>
  </si>
  <si>
    <t>Cinco (5) mensualidades vencidas, cada una por valor de TRES MILLONES OCHOCIENTOS MIL PESOS ($3’800.000) M/CTE.</t>
  </si>
  <si>
    <t>040-2018</t>
  </si>
  <si>
    <t>EDGAR ALIRIO VELOSA ARIAS</t>
  </si>
  <si>
    <t>Prestar servicios profesionales en la oficina asesora de comunicaciones de Función Pública, para apoyar la generación de contenidos informativos  que permitan divulgar la gestión de la entidad, en el marco de la estrategia de comunicaciones</t>
  </si>
  <si>
    <t>Cinco (5) mensualidades vencidas, cada una por valor de CUATRO MILLONES DOSCIENTOS MIL PESOS ($4’200.000) M/CTE.</t>
  </si>
  <si>
    <t>003-2018</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</si>
  <si>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</si>
  <si>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</si>
  <si>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</si>
  <si>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 xml:space="preserve">OFICINA DE TECNOLOGIAS DE LA INFORMACION Y LAS COMUNICACIONES </t>
  </si>
  <si>
    <t>015-2018</t>
  </si>
  <si>
    <t>GREISTLY KARINE VEGA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</si>
  <si>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</si>
  <si>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016-2018</t>
  </si>
  <si>
    <t>VICTOR HUGO JAUREGUI PAZ</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</si>
  <si>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</si>
  <si>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Cinco (5) mensualidades vencidas, cada una por valor de SIETE MILLONES DE PESOS ($7’000.000) M/CTE.</t>
  </si>
  <si>
    <t>FRANCISCO JOSE URBINA SUAREZ</t>
  </si>
  <si>
    <t>017-2018</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</si>
  <si>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</si>
  <si>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Cinco (5) mensualidades vencidas, cada una por valor de SEIS MILLONES QUINIENTOS DIEZ MIL PESOS ($6’510.000) M/CTE.</t>
  </si>
  <si>
    <t>ASTRID RUIZ ZAMUDIO</t>
  </si>
  <si>
    <t>041-2018</t>
  </si>
  <si>
    <t>JACK LEONARDO MARTINEZ VANEGAS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</si>
  <si>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</si>
  <si>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EDUAR ALFONSO GAVIRIA VERA</t>
  </si>
  <si>
    <t>039-2018</t>
  </si>
  <si>
    <t>PEDRO ANTONIO GARCIA MEDINA</t>
  </si>
  <si>
    <t>Cinco (5) mensualidades vencidas de SEIS MILLONES QUINIENTOS DIEZ MIL PESOS ($6’510.000) M/CTE.</t>
  </si>
  <si>
    <t>019-2018</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</si>
  <si>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</si>
  <si>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023-2018</t>
  </si>
  <si>
    <t>JOHANNA JIMENEZ CORREA</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</si>
  <si>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</si>
  <si>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Cinco (5) mensualidades vencidas, cada una por valor de CINCO MILLONES QUINIENTOS DOCE MIL PESOS ($5’512.000) M/CTE.</t>
  </si>
  <si>
    <t>048-2018</t>
  </si>
  <si>
    <t>ALEXANDER HERNANDEZ ZORRO</t>
  </si>
  <si>
    <t>Cinco (5) mensualidades vencidas, cada una por valor de CINCO MILLONES OCHO MIL PESOS ($5.008.000) M/CTE.</t>
  </si>
  <si>
    <t>103-2018</t>
  </si>
  <si>
    <t>ROCIO LONDOÑO BOTERO</t>
  </si>
  <si>
    <t>Prestar servicios profesionales en la Dirección General de Función Pública, para articular y revisar la información necesaria para la elaboración de un informe sobre la evolución del empleo público en Colombia.</t>
  </si>
  <si>
    <t>Tres (3) mensualidades vencidas, cada una por valor de SIETE MILLONES CIENTO SESENTA Y SEIS MIL PESOS ($7’166.000) M/CTE.</t>
  </si>
  <si>
    <t>Tres (3) meses, contado a partir del perfeccionamiento del mismo y registro presupuestal.</t>
  </si>
  <si>
    <t>104-2018</t>
  </si>
  <si>
    <t>OMAR LORENZO SALINAS VILLAMIZAR</t>
  </si>
  <si>
    <t>Prestar servicios profesionales en la Dirección General de Función Pública, para apoyar la revisión de la información necesaria para la elaboración de un informe sobre la evolución del empleo público en Colombia.</t>
  </si>
  <si>
    <t>Tres (3) mensualidades vencidas, cada una por valor de CINCO MILLONES DOSCIENTOS TREINTA Y UN MIL PESOS ($5’231.000) M/CTE.</t>
  </si>
  <si>
    <t>105-2018</t>
  </si>
  <si>
    <t>OSCAR DAVID SAIDIZA PEÑUELA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</si>
  <si>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</si>
  <si>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Tres (3) mensualidades vencidas, cada una por valor de SEIS MILLONES TRESCIENTOS NOVENTA Y CUATRO MIL PESOS ($6’394.000) M/CTE.</t>
  </si>
  <si>
    <t>100-2018</t>
  </si>
  <si>
    <t>MARIANA DE JESUS PEREA URREA</t>
  </si>
  <si>
    <t>Prestar servicios de apoyo a la Gestión en la Dirección General de Función Pública, para la recopilación, organización y control de la información, que contribuya a la elaboración de un informe sobre la evolución del empleo público en Colombia.</t>
  </si>
  <si>
    <t>Tres (3) mensualidades vencidas, cada por un valor de UN MILLON TRESCIENTOS CINCUENTA MIL PESOS ($1’350.000) M/CTE</t>
  </si>
  <si>
    <t>076-2018</t>
  </si>
  <si>
    <t xml:space="preserve">Prestar servicios profesionales en la Dirección General de Función Pública, para apoyar la elaboración y revisión de documentos institucionales relacionados con las metas, objetivos, planes, programas y proyectos y resultados de la Entidad. </t>
  </si>
  <si>
    <t>Cinco (5) mensualidades vencidas, cada una por valor de DOS MILLONES DE PESOS ($2’000.000) M/CTE.</t>
  </si>
  <si>
    <t xml:space="preserve">ANDRÉS FELIPE SEGURA ARNAIZ </t>
  </si>
  <si>
    <t>133-2018</t>
  </si>
  <si>
    <t>LORENA CATALINA RODRIGUEZ MORENO</t>
  </si>
  <si>
    <t>Prestar servicios profesionales en la Dirección General de Función Pública, para apoyar la elaboración, implementación, revisión de resultados y divulgación de indicadores y otras herramientas de seguimiento, para la Estrategia de Cambio Cultural.</t>
  </si>
  <si>
    <t>Ocho (8) mensualidades vencidas, cada una por valor de TRES MILLONES OCHOCIENTOS NOVENTA Y CINCO MIL PESOS ($3´895.000)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</si>
  <si>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</si>
  <si>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</si>
  <si>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</si>
  <si>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</si>
  <si>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119-2018</t>
  </si>
  <si>
    <t>SANTIAGO LEYVA BOTERO</t>
  </si>
  <si>
    <t>Prestar servicios profesionales en la Dirección de Gestión del Conocimiento de Función Pública, para apoyar la elaboración de un (1) documento de balance y prospectiva sobre la capacidad de cambio institucional en el sector público colombiano.</t>
  </si>
  <si>
    <t>Dos (2) mensualidades vencidas, cada una por valor de SIETE MILLONES QUINIENTOS MIL PESOS ($7.500.000) M/CTE</t>
  </si>
  <si>
    <t>Dos (2) meses, contado a partir del perfeccionamiento del mismo y registro presupuestal.</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</si>
  <si>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</si>
  <si>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</si>
  <si>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</si>
  <si>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110-2018</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</si>
  <si>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</si>
  <si>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</si>
  <si>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Ocho (8) mensualidades vencidas, cada una por valor de UN MILLÓN NOVECIENTOS NUEVE MIL PESOS ($1’909.000) M/CTE.</t>
  </si>
  <si>
    <t>132-2018</t>
  </si>
  <si>
    <t>ELISABETH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</si>
  <si>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</si>
  <si>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</si>
  <si>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</si>
  <si>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065-2018</t>
  </si>
  <si>
    <t>PAULA VANESSA PAEZ BARRETO</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</si>
  <si>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</si>
  <si>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Ocho (8) mensualidades vencidas, cada una por valor de SIETE MILLONES TRESCIENTOS CINCUENTA MIL PESOS ($7’350.000) M/CTE</t>
  </si>
  <si>
    <t>Ocho (08) meses, contado a partir del perfeccionamiento del mismo y registro presupuestal.</t>
  </si>
  <si>
    <t>079-2018</t>
  </si>
  <si>
    <t>CLAUDIA PATRICIA DIAZ BAQUERO</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</si>
  <si>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</si>
  <si>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Ocho (8) mensualidades vencidas, cada una por valor de SEIS MILLONES DE PESOS ($6’000.000) M/CTE.</t>
  </si>
  <si>
    <t>Ocho (8) meses, contados a partir del perfeccionamiento del mismo y registro presupuestal.</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</si>
  <si>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</si>
  <si>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</si>
  <si>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</si>
  <si>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</si>
  <si>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053-2018</t>
  </si>
  <si>
    <t>MONICA SILVA ELIAS</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</si>
  <si>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</si>
  <si>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Ocho (8) mensualidades vencidas, cada una por valor de CINCO MILLONES TRESCIENTOS MIL PESOS ($5’300.000) M/CTE.</t>
  </si>
  <si>
    <t>ROGER QUIRAMA GARCIA</t>
  </si>
  <si>
    <t>051-2018</t>
  </si>
  <si>
    <t>JOHNAHAN ARROYO ARROYO</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</si>
  <si>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</si>
  <si>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Ocho (8) mensualidades vencidas, cada una por valor de SEIS MILLONES QUINIENTOS DIEZ MIL PESOS ($6’510.000) M/CTE.</t>
  </si>
  <si>
    <t>052-2018</t>
  </si>
  <si>
    <t>JAVIER LEÓN RICARDO SANCHEZ LIZARAZO</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</si>
  <si>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</si>
  <si>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125-2018</t>
  </si>
  <si>
    <t>WILLIAM JAVIER PINTO SOLER</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</si>
  <si>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</si>
  <si>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</si>
  <si>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099-2018</t>
  </si>
  <si>
    <t>NOHORA SUSANA BONILLA GUZMAN</t>
  </si>
  <si>
    <t>Prestar servicios profesionales en la Oficina Asesora de Comunicaciones, para apoyar el diseño y diagramación de documentos y publicaciones técnicas generadas por la entidad, en el marco de la Estrategia de Comunicaciones de Función Pública.</t>
  </si>
  <si>
    <t>Ocho (8) mensualidades vencidas, cada una por valor de CUATRO MILLONES SETECIENTOS MIL PESOS ($4´700.000) M/CTE.</t>
  </si>
  <si>
    <t>063-2018</t>
  </si>
  <si>
    <t>DANIEL ASDRUBAL ROMERO GONZÁLEZ</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</si>
  <si>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</si>
  <si>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Ocho (8) mensualidades vencidas, cada una por valor de NUEVE MILLONES DOCIENTOS OCHENTA Y DOS MIL PESOS ($9.282.000) M/CTE.</t>
  </si>
  <si>
    <t xml:space="preserve">NATALIA ASTRID CARDONA RAMIREZ </t>
  </si>
  <si>
    <t>102-2018</t>
  </si>
  <si>
    <t>JORGE MARIO SIMANCAS CARDONA</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</si>
  <si>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</si>
  <si>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Ocho (8) mensualidades vencidas, cada una por valor de CINCO MILLONES DOSCIENTOS TREINTA Y UN MIL PESOS ($5.231.000) M/CTE</t>
  </si>
  <si>
    <t>066-2018</t>
  </si>
  <si>
    <t xml:space="preserve">Ocho (8) mensualidades vencidas, cada una por valor de CINCO MILLONES DOSCIENTOS TREINTA Y UN MIL PESOS ($5.231.000) M/CTE </t>
  </si>
  <si>
    <t>080-2018</t>
  </si>
  <si>
    <t>JUAN PABLO ROJAS MESA</t>
  </si>
  <si>
    <t>Prestar servicios profesionales en el Grupo de Servicio al Ciudadano Institucional de Función Pública para apoyar la atención a los grupos de valor en el primer nivel de servicio de la Entidad.</t>
  </si>
  <si>
    <t>Ocho (8) mensualidades vencidas, cada una por valor de TRES MILLONES OCHOCIENTOS NOVENTA Y CINCO MIL PESOS ($3.895.000) M/CTE</t>
  </si>
  <si>
    <t>078-2018</t>
  </si>
  <si>
    <t>YENNY STELLA CHACÓN SANTAMARIA</t>
  </si>
  <si>
    <t>096-2018</t>
  </si>
  <si>
    <t>BEATRIZ HELENA HERNADEZ VARGAS</t>
  </si>
  <si>
    <t>123-2018</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</si>
  <si>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</si>
  <si>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</si>
  <si>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</si>
  <si>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</si>
  <si>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083-2018</t>
  </si>
  <si>
    <t>Prestar servicios profesionales en la Oficina de Control Interno de Función Pública, para apoyar la ejecución del plan de auditorías internas y seguimientos a la gestión institucional programados para la vigencia 2018.</t>
  </si>
  <si>
    <t>Ocho (8) mensualidades vencidas, cada una por valor de CINCO MILLONES DOSCIENTOS TREINTA Y UN MIL PESOS ($5’231.000) M/CTE.</t>
  </si>
  <si>
    <t>LUZ STELLA PATIÑO JURADO</t>
  </si>
  <si>
    <t>OFICINA DE CONTROL INTERNO</t>
  </si>
  <si>
    <t>082-2018</t>
  </si>
  <si>
    <t>EDUARDO PRADA VELASQUEZ</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</si>
  <si>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</si>
  <si>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Seis (6) mensualidades vencidas, cada una por valor de SEIS MILLONES QUINIENTOS MIL PESOS ($6’500.000) M/CTE.</t>
  </si>
  <si>
    <t>Seis (6) meses, contados a partir del perfeccionamiento del mismo y registro presupuestal.</t>
  </si>
  <si>
    <t xml:space="preserve">JIMMY ALEJANDRO ESCOBAR CASTRO </t>
  </si>
  <si>
    <t>084-2018</t>
  </si>
  <si>
    <t>RAFAEL ANTONIO GARCIA RODRIGUEZ</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</si>
  <si>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</si>
  <si>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OCHO MILLONES DE PESOS ($8’000.000) M/CTE.</t>
  </si>
  <si>
    <t xml:space="preserve">FERNANDO AUGUSTO MEDINA GUTIERREZ </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</si>
  <si>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</si>
  <si>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</si>
  <si>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</si>
  <si>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Ocho (8) mensualidades vencidas, cada una por valor de CINCO MILLONES QUINIENTOS MIL PESOS ($5.500.000) M/CTE</t>
  </si>
  <si>
    <t>DOLLY AMAYA CABALLERO</t>
  </si>
  <si>
    <t>120-2018</t>
  </si>
  <si>
    <t>ADRIANA DEL PILAR CIFUENTES BLANCO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</si>
  <si>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</si>
  <si>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130-2018</t>
  </si>
  <si>
    <t>KAREN VANESSA MUÑOZ GULFO</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</si>
  <si>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</si>
  <si>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Seis (6) mensualidades vencidas, cada una por valor de CINCO MILLONES TRESCIENTOS CINCUENTA MIL PESOS ($5´350.000) M/CTE.</t>
  </si>
  <si>
    <t>Seis (6) meses, contado a partir del perfeccionamiento del mismo y registro presupuestal.</t>
  </si>
  <si>
    <t>DIANA MARIA CALDAS GUALTEROS</t>
  </si>
  <si>
    <t>064-2018</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</si>
  <si>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</si>
  <si>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2018.</t>
  </si>
  <si>
    <t>Ocho (8) mensualidades vencidas, cada una por valor de TRES MILLONES SEISCIENTOS SETENTA Y TRES MIL PESOS ($3.673.000) M/CTE.</t>
  </si>
  <si>
    <t xml:space="preserve">MARÍA DEL PILAR GARCÍA GONZÁLEZ </t>
  </si>
  <si>
    <t>081-2018</t>
  </si>
  <si>
    <t>OSCAR MANUEL RODRIGUEZ NIÑO</t>
  </si>
  <si>
    <t xml:space="preserve">MARÍA DEL PILAR GARCÍA GONZÁLEZ   </t>
  </si>
  <si>
    <t>109-2018</t>
  </si>
  <si>
    <t>CESAR ANDRES MARIN CAMACHO</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</si>
  <si>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</si>
  <si>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118-2018</t>
  </si>
  <si>
    <t>NOHORA MARCELA ACOSTA ORJUELA</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</si>
  <si>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</si>
  <si>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</si>
  <si>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 xml:space="preserve">ALEJANDRO BECKER ROJAS </t>
  </si>
  <si>
    <t>114-2018</t>
  </si>
  <si>
    <t>NORA ELIZABETH ZAMORA SANTACRUZ</t>
  </si>
  <si>
    <t>115-2018</t>
  </si>
  <si>
    <t>CAROLINA SANCHEZ BOHORQUEZ</t>
  </si>
  <si>
    <t>116-2018</t>
  </si>
  <si>
    <t>CLAUDIA PATRICIA HERNANDEZ DIAZ</t>
  </si>
  <si>
    <t>067-2018</t>
  </si>
  <si>
    <t>DIANA ELIZABETH SALINAS GUTIERREZ</t>
  </si>
  <si>
    <t>Prestar servicios profesionales en la Direccion Juridica  de Función Pública para apoya la estructuración, publicación, depuración y/o actalización de los contenidos del Gestor Normativo de la Entidad.</t>
  </si>
  <si>
    <t>Ocho (8) mensualidades vencidas, cada una por valor de CUATRO MILLONES CUATROCIENTOS CINCUENTA Y DOS MIL PESOS ($4’452.000) M/CTE.</t>
  </si>
  <si>
    <t>LUIS FERNANDO NUÑEZ RINCÓN</t>
  </si>
  <si>
    <t>108-2018</t>
  </si>
  <si>
    <t>JORGE ANDRES ROJAS URREA</t>
  </si>
  <si>
    <t>Prestar servicios profesionales en la Dirección Juridica de Función Pública para apoyar la estructuración, publicación, depuración y/o actualización de los contenidos del Gestor Normativo de la Entidad.</t>
  </si>
  <si>
    <t>Ocho (8) mensualidades vencidas, cada una por valor de CUATRO MILLONES CUATROCIENTOS CINCUENTA Y DOS MIL PESOS ($4.452.000) M/CTE</t>
  </si>
  <si>
    <t>112-2018</t>
  </si>
  <si>
    <t>SANDRA LUCIA BARRIGA MORENO</t>
  </si>
  <si>
    <t>139-2018</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</si>
  <si>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</si>
  <si>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Ocho (8) mensualidades vencidas, cada una por valor de SEIS MILLONES DE PESOS ($6.000.000) M/CTE.</t>
  </si>
  <si>
    <t>JOSE FERNANDO CEBALLOS ARROYAVE</t>
  </si>
  <si>
    <t>121-2018</t>
  </si>
  <si>
    <t>DANIEL DE JESUS ESMERAL JARAMILLO</t>
  </si>
  <si>
    <t>Prestar servicios profesionales en la Dirección Juridica de la Función Pública, para apoyar la proyección de conceptos en materia de Derecho Laboral administrativo y situaciones relacionadas con el desempeño territorial.</t>
  </si>
  <si>
    <t>062-2018</t>
  </si>
  <si>
    <t>ARMANDO LOPEZ CORTES</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</si>
  <si>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</si>
  <si>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Cinco (5) mensualidades vencidas, cada una por valor de NUEVE MILLONES CIENTO OCHENTA Y CINCO MIL QUINIENTOS PESOS ($9’185.500) M/CTE</t>
  </si>
  <si>
    <t>093-2018</t>
  </si>
  <si>
    <t>YULY VERONICA RUEDA PEREZ</t>
  </si>
  <si>
    <t>Prestar servicios profesionales en la Dirección de Desarrollo Organizacional de Función Pública, para apoyar las actividades que se generan en el desarrollo de la tercera fase de la Estrategia de Gestión Territorial.</t>
  </si>
  <si>
    <t>Ocho (8) mensualidades vencidas, cada una por valor de CUATRO MILLONES TRESCIENTOS CUARENTA MIL PESOS ($4’340.000)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</si>
  <si>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</si>
  <si>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</si>
  <si>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</si>
  <si>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</si>
  <si>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106-2018</t>
  </si>
  <si>
    <t>ANGELA PATRICIA CERÓN RAMIREZ</t>
  </si>
  <si>
    <t>Prestar servicios de apoyo a la gestión en la Dirección de Desarrollo Organizacional de Función Pública, para la recolección, organización y control de la información que surja en desarrollo de la Estrategia de Gestión Territorial.</t>
  </si>
  <si>
    <t>Ocho (8) mensualidades vencidas, cada una por valor de DOS MILLONES DE PESOS ($2’000.000) M/CTE.</t>
  </si>
  <si>
    <t>107-2018</t>
  </si>
  <si>
    <t>MAYRA YINETH GALEANO BERGAÑO</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</si>
  <si>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</si>
  <si>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</si>
  <si>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</si>
  <si>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</si>
  <si>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</si>
  <si>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Siete (7) meses, contado a partir del perfeccionamiento del mismo y registro presupuestal.</t>
  </si>
  <si>
    <t>085-2018</t>
  </si>
  <si>
    <t>LINA MARIA PADILLA SAIBIS</t>
  </si>
  <si>
    <t xml:space="preserve">Prestar servicios profesionales a la Dirección de Desarrollo Organizacional, para apoyar la implementación de la Estrategia de Gestión Territorial, en departamentos de difícil acceso y condiciones geográficas complejas. </t>
  </si>
  <si>
    <t>Ocho mensualidades vencidas, cada una por valor de DIEZ MILLONES DE PESOS ($10’000.000) M/CTE.</t>
  </si>
  <si>
    <t>086-2018</t>
  </si>
  <si>
    <t>HAROLD EDUARDO BENAVIDES OSEJO</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</si>
  <si>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</si>
  <si>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</si>
  <si>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075-2018</t>
  </si>
  <si>
    <t>ANA RAQUEL RODRIGUEZ RUIZ</t>
  </si>
  <si>
    <t>091-2018</t>
  </si>
  <si>
    <t>ORANGEL DE JESUS NORIEGA</t>
  </si>
  <si>
    <t>126-2018</t>
  </si>
  <si>
    <t>EDGAR ALBERTO SIMBAQUEBA MORENO</t>
  </si>
  <si>
    <t>ocho (8) mensualidades vencidas, cada una por valor de NUEVE MILLONES DE PESOS ($9.000.000) M/CTE.</t>
  </si>
  <si>
    <t>089-2018</t>
  </si>
  <si>
    <t>RICARDO ANDRES MOLINA SUAREZ</t>
  </si>
  <si>
    <t>135-2018</t>
  </si>
  <si>
    <t>RODOLFO RENGIFO VALENCIA</t>
  </si>
  <si>
    <t>Prestar servicios profesionales a la Direccion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</si>
  <si>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</si>
  <si>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117-2018</t>
  </si>
  <si>
    <t>JENNIFER ALEJANDRA MOGOLLON BERNAL</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</si>
  <si>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</si>
  <si>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</si>
  <si>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</si>
  <si>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</si>
  <si>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113-2018</t>
  </si>
  <si>
    <t>LUZ STELLA CANTOR CARVAJAL</t>
  </si>
  <si>
    <t>097-2018</t>
  </si>
  <si>
    <t>DIANA PATRICIA GUERRERO VALENCIA</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</si>
  <si>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</si>
  <si>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</si>
  <si>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</si>
  <si>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059-2018</t>
  </si>
  <si>
    <t>JULIO CÉSAR OVALLE VARGAS</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</si>
  <si>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</si>
  <si>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Siete (7) mensualidades vencidas, cada una por valor de OCHO MILLONES QUINIENTOS MIL PESOS ($8’500.000) M/CTE.</t>
  </si>
  <si>
    <t>Siete (07) meses, contado a partir del perfeccionamiento del mismo y registro presupuestal.</t>
  </si>
  <si>
    <t>073-2018</t>
  </si>
  <si>
    <t>TRINA MARCELA BOCANEGRA MONTALVO</t>
  </si>
  <si>
    <t>056-2018</t>
  </si>
  <si>
    <t>ANGELA MARÍA CASTILLO LOZADA</t>
  </si>
  <si>
    <t>138-2018</t>
  </si>
  <si>
    <t>PAOLA LILIANA QUIJANO BARÓN</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</si>
  <si>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</si>
  <si>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</si>
  <si>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068-2018</t>
  </si>
  <si>
    <t>PAULA CAROLINA VILLAMIZAR</t>
  </si>
  <si>
    <t>061-2018</t>
  </si>
  <si>
    <t>ANDREA PAOLA PRIETO MOSQUERA</t>
  </si>
  <si>
    <t>060-2018</t>
  </si>
  <si>
    <t>IVONNE PATRICIA BERNAL LOPEZ</t>
  </si>
  <si>
    <t>054-2018</t>
  </si>
  <si>
    <t>CATALINA CARDONA OSORIO</t>
  </si>
  <si>
    <t>058-2018</t>
  </si>
  <si>
    <t>HECTOR ARMANDO BARÓN RODRIGUEZ</t>
  </si>
  <si>
    <t>070-2018</t>
  </si>
  <si>
    <t>GIOVANNA CONSUELO PARDO BERNAL</t>
  </si>
  <si>
    <t>074-2018</t>
  </si>
  <si>
    <t>RODRIGO DAVID NOGUERA FAJARDO</t>
  </si>
  <si>
    <t>072-2018</t>
  </si>
  <si>
    <t>YOVANNA ALEXANDRA CADAVID HERRERA</t>
  </si>
  <si>
    <t>071-2018</t>
  </si>
  <si>
    <t>EDIT YOHANA PALACIO ESPINOSA</t>
  </si>
  <si>
    <t>069-2018</t>
  </si>
  <si>
    <t>GLADYS RAMIREZ PEÑA</t>
  </si>
  <si>
    <t>057-2018</t>
  </si>
  <si>
    <t>MAURICIO ENRIQUE RAMIREZ ALVAREZ</t>
  </si>
  <si>
    <t>101-2018</t>
  </si>
  <si>
    <t>ALICIA BUSTACARA ROMERO</t>
  </si>
  <si>
    <t>055-2018</t>
  </si>
  <si>
    <t xml:space="preserve">IVAN CARLOS RAFAEL BOBADILLA DAZA                         </t>
  </si>
  <si>
    <t>094-2018</t>
  </si>
  <si>
    <t>ESTHER SOFIA HENAO LOPEZ</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</si>
  <si>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</si>
  <si>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OCHO MILLONES QUINIENTOS MIL PESOS ($8’500.000) M/CTE.</t>
  </si>
  <si>
    <t>142-2018</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</si>
  <si>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</si>
  <si>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</si>
  <si>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</si>
  <si>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NATALIA CARRILLO MOLINA</t>
  </si>
  <si>
    <t>131-2018</t>
  </si>
  <si>
    <t>Prestar servicios profesionales a Función Pública, para apoyar en la organización de la logistica, realización y ejecución de los eventos que requiera la entidad.</t>
  </si>
  <si>
    <t>Ocho (8) mensualidades vencidas, cada una por valor de CUATRO MILLONES QUINIENTOS MIL PESOS ($4´500.000) M/CTE.</t>
  </si>
  <si>
    <t>134-2018</t>
  </si>
  <si>
    <t>SILVIA LUCIA FORERO CASTAÑEDA</t>
  </si>
  <si>
    <t>Prestar servicios profesionales en la Subdirección de Función Pública, para apoyar en la revisión y consolidación de los resultados de las políticas a cargo de la entidad, así como en la elaboración de los documentos resultantes de las mismas.</t>
  </si>
  <si>
    <t>Ocho (8) mensualidades vencidas, cada una por valor de CINCO MILLONES NOVECIENTOS CINCUENTA Y TRES MIL PESOS ($5’953.000) M/CTE</t>
  </si>
  <si>
    <t>146-2018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</si>
  <si>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</si>
  <si>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Cinco (5) mensualidades vencidas, cuatro (4) pagos por valor de SIETE MILLONES TRESCIENTOS CINCUENTA MIL PESOS ($7.350.000) M/CTE, y un ultimo pago por valor de TRES MILLONES SEISCIENTOS SETENTA YCINCO MIL PESOS ($3.675.000) M/CTE.</t>
  </si>
  <si>
    <t xml:space="preserve">LINA MARIA MONCALEANO CUELLAR </t>
  </si>
  <si>
    <t>PARA ADICIONAR  3 CONTRATOS DE SISTEMAS POR $270000000</t>
  </si>
  <si>
    <t>$20 millones adicionar contrato de mantenimiento</t>
  </si>
  <si>
    <t>GRUPO GESTIÓN HUMANA</t>
  </si>
  <si>
    <t>Implementación de la estrategias de Gobierno Digital</t>
  </si>
  <si>
    <t>81112200-81111500-81111800</t>
  </si>
  <si>
    <t>Para cubrir servicios de mantenimiento $10 millones</t>
  </si>
  <si>
    <t>9 MESES</t>
  </si>
  <si>
    <t>Suscripción al licenciamiento, servicios de soporte para las licencias del software Liferay DXP, así como entrenamiento y bolsa de horas de soporte especializado conforme lo especificado en la ficha técnica.</t>
  </si>
  <si>
    <t>Contratar la elaboración y aplicación de los concursos públicos de empleo - CNSC</t>
  </si>
  <si>
    <t>CENTRAL DE INVERSIONES S.A.</t>
  </si>
  <si>
    <t>Realizar intermediación comercial para la enajenación de bienes muebles de propiedad del Departamento Administrativo de la Función Pública, por el sistema de subasta electrónica ascendente.</t>
  </si>
  <si>
    <t>CONTRATO INTERADMINISTRATIVO</t>
  </si>
  <si>
    <t>Un (1) año, prorrogable de mutuo acuerdo por periodos iguales, contados a partir de su perfeccionamiento.</t>
  </si>
  <si>
    <t>151-2018</t>
  </si>
  <si>
    <t>SUBATOURS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</si>
  <si>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</si>
  <si>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</si>
  <si>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</si>
  <si>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</si>
  <si>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147-2018</t>
  </si>
  <si>
    <t>MELANY PAOLA FLOREZ DE LA HOZ</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</si>
  <si>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</si>
  <si>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TRES MILLONES TREINTA Y TRES MIL PESOS ($3.033.000) M/CTE, y un ultimo pago por valor de UN MILLON QUINIENTOS DIECISEIS MIL QUINIENTOS PESOS ($1.516.500)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</si>
  <si>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</si>
  <si>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</si>
  <si>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</si>
  <si>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</si>
  <si>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</si>
  <si>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</si>
  <si>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150-2018</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</si>
  <si>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</si>
  <si>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</si>
  <si>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</si>
  <si>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</si>
  <si>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153-2018</t>
  </si>
  <si>
    <t>UT SOFT-IG</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</si>
  <si>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</si>
  <si>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</si>
  <si>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Un (1) año, contado  a  partir  del perfeccionamiento del mismo y registro presupuesta!.</t>
  </si>
  <si>
    <t>CDP</t>
  </si>
  <si>
    <t>VALOR NETO DEL CONTRATO VIGENCIA 2018</t>
  </si>
  <si>
    <t xml:space="preserve">SANTIAGO ARANGO CORRALES </t>
  </si>
  <si>
    <t>CLAUDIA ANDREA CELY RUIZ                  CEDIDO A                                                       MELANY PAOLA FLOREZ DE LA HOZ</t>
  </si>
  <si>
    <t xml:space="preserve">EDINSON GABRIEL MALAGÓN MAYORGA </t>
  </si>
  <si>
    <t>Cinco (5) mensualidades vencidas, cada una por valor de TRES MILLONES SEISCIENTOS CUATRO MIL PESOS ($3.604.000) M/CTE</t>
  </si>
  <si>
    <t xml:space="preserve">ELSA YANUBA QUIÑONES </t>
  </si>
  <si>
    <t>JUAN PABLO CENDALES 
RODRIGUEZ</t>
  </si>
  <si>
    <t xml:space="preserve">EDINSON GABRIEL MALAGÓN MAYORGA  </t>
  </si>
  <si>
    <t xml:space="preserve">CM-015-2018 </t>
  </si>
  <si>
    <t>GASTOS DE TELEFONÍA</t>
  </si>
  <si>
    <t>24 MESES</t>
  </si>
  <si>
    <t xml:space="preserve">Para cubrir en agosto seguro de vehículos </t>
  </si>
  <si>
    <t>43233400
81111500
81111800
81112200
81112000</t>
  </si>
  <si>
    <t>43212200
43201800
81111500
43201600</t>
  </si>
  <si>
    <t xml:space="preserve">8018 </t>
  </si>
  <si>
    <t xml:space="preserve">8718 </t>
  </si>
  <si>
    <t>17418</t>
  </si>
  <si>
    <t xml:space="preserve">8118 </t>
  </si>
  <si>
    <t>18018</t>
  </si>
  <si>
    <t>17718</t>
  </si>
  <si>
    <t>18418</t>
  </si>
  <si>
    <t>19018</t>
  </si>
  <si>
    <t xml:space="preserve">2318 </t>
  </si>
  <si>
    <t xml:space="preserve">2418 </t>
  </si>
  <si>
    <t xml:space="preserve">2518 </t>
  </si>
  <si>
    <t xml:space="preserve">2618 </t>
  </si>
  <si>
    <t xml:space="preserve">2718 </t>
  </si>
  <si>
    <t xml:space="preserve">2818 </t>
  </si>
  <si>
    <t xml:space="preserve">2918 </t>
  </si>
  <si>
    <t xml:space="preserve">3018 </t>
  </si>
  <si>
    <t xml:space="preserve">3118 </t>
  </si>
  <si>
    <t xml:space="preserve">3218 </t>
  </si>
  <si>
    <t xml:space="preserve">3318 </t>
  </si>
  <si>
    <t xml:space="preserve">3418 </t>
  </si>
  <si>
    <t xml:space="preserve">3518 </t>
  </si>
  <si>
    <t xml:space="preserve">3618 </t>
  </si>
  <si>
    <t xml:space="preserve">3718 </t>
  </si>
  <si>
    <t xml:space="preserve">3818 </t>
  </si>
  <si>
    <t xml:space="preserve">3918 </t>
  </si>
  <si>
    <t xml:space="preserve">4018 </t>
  </si>
  <si>
    <t xml:space="preserve">4118 </t>
  </si>
  <si>
    <t xml:space="preserve">4218 </t>
  </si>
  <si>
    <t xml:space="preserve">4318 </t>
  </si>
  <si>
    <t xml:space="preserve">4418 </t>
  </si>
  <si>
    <t xml:space="preserve">4518 </t>
  </si>
  <si>
    <t xml:space="preserve">4618 </t>
  </si>
  <si>
    <t xml:space="preserve">4718 </t>
  </si>
  <si>
    <t xml:space="preserve">4818 </t>
  </si>
  <si>
    <t xml:space="preserve">4918 </t>
  </si>
  <si>
    <t xml:space="preserve">5018 </t>
  </si>
  <si>
    <t xml:space="preserve">5118 </t>
  </si>
  <si>
    <t xml:space="preserve">5218 </t>
  </si>
  <si>
    <t xml:space="preserve">5318 </t>
  </si>
  <si>
    <t xml:space="preserve">5418 </t>
  </si>
  <si>
    <t xml:space="preserve">5518 </t>
  </si>
  <si>
    <t xml:space="preserve">5618 </t>
  </si>
  <si>
    <t xml:space="preserve">5718 </t>
  </si>
  <si>
    <t xml:space="preserve">5818 </t>
  </si>
  <si>
    <t xml:space="preserve">5918 </t>
  </si>
  <si>
    <t xml:space="preserve">6018 </t>
  </si>
  <si>
    <t xml:space="preserve">6118 </t>
  </si>
  <si>
    <t xml:space="preserve">6218 </t>
  </si>
  <si>
    <t xml:space="preserve">6418 </t>
  </si>
  <si>
    <t xml:space="preserve">6518 </t>
  </si>
  <si>
    <t xml:space="preserve">6618 </t>
  </si>
  <si>
    <t xml:space="preserve">6818 </t>
  </si>
  <si>
    <t xml:space="preserve">6918 </t>
  </si>
  <si>
    <t xml:space="preserve">7018 </t>
  </si>
  <si>
    <t xml:space="preserve">7118 </t>
  </si>
  <si>
    <t xml:space="preserve">7218 </t>
  </si>
  <si>
    <t xml:space="preserve">7318 </t>
  </si>
  <si>
    <t xml:space="preserve">7418 </t>
  </si>
  <si>
    <t xml:space="preserve">9018 </t>
  </si>
  <si>
    <t>16918</t>
  </si>
  <si>
    <t xml:space="preserve">9118 </t>
  </si>
  <si>
    <t>17118</t>
  </si>
  <si>
    <t xml:space="preserve">9318 </t>
  </si>
  <si>
    <t xml:space="preserve">9418 </t>
  </si>
  <si>
    <t xml:space="preserve">9618 </t>
  </si>
  <si>
    <t xml:space="preserve">9718 </t>
  </si>
  <si>
    <t>17218</t>
  </si>
  <si>
    <t xml:space="preserve">9918 </t>
  </si>
  <si>
    <t>10018</t>
  </si>
  <si>
    <t xml:space="preserve">1018 </t>
  </si>
  <si>
    <t>10218</t>
  </si>
  <si>
    <t>10318</t>
  </si>
  <si>
    <t>10418</t>
  </si>
  <si>
    <t>10518</t>
  </si>
  <si>
    <t>10618</t>
  </si>
  <si>
    <t>10718</t>
  </si>
  <si>
    <t>10818</t>
  </si>
  <si>
    <t>10918</t>
  </si>
  <si>
    <t>11018</t>
  </si>
  <si>
    <t>11118</t>
  </si>
  <si>
    <t xml:space="preserve">1218 </t>
  </si>
  <si>
    <t>11318</t>
  </si>
  <si>
    <t>11418</t>
  </si>
  <si>
    <t>11518</t>
  </si>
  <si>
    <t>11618</t>
  </si>
  <si>
    <t>11718</t>
  </si>
  <si>
    <t>11818</t>
  </si>
  <si>
    <t>11918</t>
  </si>
  <si>
    <t>12018</t>
  </si>
  <si>
    <t>12118</t>
  </si>
  <si>
    <t>12218</t>
  </si>
  <si>
    <t>12318</t>
  </si>
  <si>
    <t>12418</t>
  </si>
  <si>
    <t>12518</t>
  </si>
  <si>
    <t>12618</t>
  </si>
  <si>
    <t>12718</t>
  </si>
  <si>
    <t>12818</t>
  </si>
  <si>
    <t>12918</t>
  </si>
  <si>
    <t>13018</t>
  </si>
  <si>
    <t>13118</t>
  </si>
  <si>
    <t>13218</t>
  </si>
  <si>
    <t>13318</t>
  </si>
  <si>
    <t>13418</t>
  </si>
  <si>
    <t>13518</t>
  </si>
  <si>
    <t>13618</t>
  </si>
  <si>
    <t>13718</t>
  </si>
  <si>
    <t>13818</t>
  </si>
  <si>
    <t>13918</t>
  </si>
  <si>
    <t>14018</t>
  </si>
  <si>
    <t>14118</t>
  </si>
  <si>
    <t>14218</t>
  </si>
  <si>
    <t>14318</t>
  </si>
  <si>
    <t>14418</t>
  </si>
  <si>
    <t>14618</t>
  </si>
  <si>
    <t>14718</t>
  </si>
  <si>
    <t>14818</t>
  </si>
  <si>
    <t>14918</t>
  </si>
  <si>
    <t>15018</t>
  </si>
  <si>
    <t>15118</t>
  </si>
  <si>
    <t>15218</t>
  </si>
  <si>
    <t>15318</t>
  </si>
  <si>
    <t>15418</t>
  </si>
  <si>
    <t>15518</t>
  </si>
  <si>
    <t>15618</t>
  </si>
  <si>
    <t>15718</t>
  </si>
  <si>
    <t>15818</t>
  </si>
  <si>
    <t>15918</t>
  </si>
  <si>
    <t>16018</t>
  </si>
  <si>
    <t>16118</t>
  </si>
  <si>
    <t>16218</t>
  </si>
  <si>
    <t>16318</t>
  </si>
  <si>
    <t>16418</t>
  </si>
  <si>
    <t>16518</t>
  </si>
  <si>
    <t>16618</t>
  </si>
  <si>
    <t>16718</t>
  </si>
  <si>
    <t>16818</t>
  </si>
  <si>
    <t>18118</t>
  </si>
  <si>
    <t>18318</t>
  </si>
  <si>
    <t>18218</t>
  </si>
  <si>
    <t>17918</t>
  </si>
  <si>
    <t>18618</t>
  </si>
  <si>
    <t>18818</t>
  </si>
  <si>
    <t>20 4 41 13 OTROS GASTOS POR ADQUISICIÓN DE SERVICIOS</t>
  </si>
  <si>
    <t>financiera para nómina. 20 millones.</t>
  </si>
  <si>
    <t>53101902
53102102
53101904
53111501
 53111601
53111601
46181503
46181604</t>
  </si>
  <si>
    <t>27110000
26121600
39121700
39101800
39101600
31201500
39111800
46171500
27112800
31161500
12352300
23131500
31210000
30151800
39111800</t>
  </si>
  <si>
    <t>154-2018</t>
  </si>
  <si>
    <t>GPS ELECTRONICS LTDA</t>
  </si>
  <si>
    <t>Prestar el servicio de mantenimiento preventivo y correctivo a los sistemas hidrosanitarios, extinción de incendio y de sonido ambiental del edificio sede de Función Pública, de acuerdo con las condiciones técnicas establecidas en el presente documento.</t>
  </si>
  <si>
    <t>Ocho (8) pagos mensuales, cada uno por un valor de NOVECIENTOS CINCUENTA Y OCHO MIL TRESCIENTOS SETENTA Y CINCO PESOS ($958.375) M/CTE</t>
  </si>
  <si>
    <t>Ocho (8) meses, contado a partir del perfeccionamiento del mismo, previo registro presupuestal y aprobación de pólizas.</t>
  </si>
  <si>
    <t xml:space="preserve">IVAN ADOLFO MORANTES </t>
  </si>
  <si>
    <t>157-2018</t>
  </si>
  <si>
    <t>CONFECCIONES PAEZ S.A.</t>
  </si>
  <si>
    <t>Adquirir la dotación de vestuario de labor, calzado y batas de trabajo, para los servidores de Función Pública, acorde con las especificaciones técnicas previstas en la Ficha Técnica de bienes y calzado (Anexo N° 1), establecida por Colombia Compra Eficiente.</t>
  </si>
  <si>
    <t>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</si>
  <si>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y uno (31) de diciembre de 2018, previo registro presupuestal. </t>
  </si>
  <si>
    <t>MONICA DONADO TRUJILLO</t>
  </si>
  <si>
    <t>158-2018</t>
  </si>
  <si>
    <t>YUBARTA S.A.S.</t>
  </si>
  <si>
    <t>YEISSON PAUL RAMIREZ SOLARTE</t>
  </si>
  <si>
    <t>159-2018</t>
  </si>
  <si>
    <t>INVERSIONES GIRATELL GIRALDO S.C.A.</t>
  </si>
  <si>
    <t>ALIX MEDINA SERRANO</t>
  </si>
  <si>
    <t>160-2018</t>
  </si>
  <si>
    <t>DOTACIÓN INTEGRAL S.A.S</t>
  </si>
  <si>
    <t>161-2018</t>
  </si>
  <si>
    <t>INTERNATIONAL TRADING COMPANY DE COLOMBIA S.A.S.</t>
  </si>
  <si>
    <t>156-2018</t>
  </si>
  <si>
    <t xml:space="preserve">MEDICAL PROTECTION LTDA </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</si>
  <si>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</si>
  <si>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Función Pública pagará el valor del Contrato en mensualidades vencidas, de acuerdo con los examenes medicos efectivamente realizados en el correspondiente mes, previa presentacion de la factura y la expedición del Certificado de Recibido a Satisfaccion por parte del Supervisor del Contrato, sin que el monto total de los servicios prestados pueda exceder la cuantia total del mismo.</t>
  </si>
  <si>
    <t xml:space="preserve">Hasta el veintiocho (28) de diciembre de 2018, o hasta agotar el presupuesto, lo primero que ocurra, contado a partir del perfeccionamiento del mismo, registro presupuestal y aprobación de pólizas. </t>
  </si>
  <si>
    <t>155-2018</t>
  </si>
  <si>
    <t>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</si>
  <si>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</si>
  <si>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 xml:space="preserve">FERNANDO AUGUSTO MEDINA GUTIÉRREZ </t>
  </si>
  <si>
    <t>45111500
43211500
43211900
43212100</t>
  </si>
  <si>
    <t>Adquisición de entrepaños para los archivadores rodantes del archivo central de la entidad.</t>
  </si>
  <si>
    <t>81112200
81111500
81111800
43232300</t>
  </si>
  <si>
    <t>43222600 43221700 43202200 43211800 26121600 23251800</t>
  </si>
  <si>
    <t>81112102    43233501</t>
  </si>
  <si>
    <t>Prestar el servicio de correo electrónico certificado, que proporcionen notificación electrónica por e-mail para Función Pública, optimizando la administración del correo electrónico actual.</t>
  </si>
  <si>
    <t xml:space="preserve">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la realización de la transferencia de conocimientos, la presentación de la respectiva factura y expedición del certificado de recibido a satisfacción y evaluación al contratista, por parte del Supervisor del Contrato, sin que el monto total de los bienes y servicios suministrados pueda exceder la cuantía total del Contrato. </t>
  </si>
  <si>
    <t xml:space="preserve">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 </t>
  </si>
  <si>
    <t>OLIMPIA MANAGEMENT S. A.</t>
  </si>
  <si>
    <t>167-2018</t>
  </si>
  <si>
    <t xml:space="preserve">ANDREA MARTINEZ CALVO </t>
  </si>
  <si>
    <t xml:space="preserve">Un (1) año, contado a partir del nueve (9) de abril del 2018 , previo perfeccionamiento del mismo, registro presupuesta! y aprobación de pólizas. </t>
  </si>
  <si>
    <t>Función Pública pagará el valor del contrato en un (1) único pago, previa entrega del licenciamiento , la certificación de suscripción al servicio de soporte, derechos de actualización de versiones , bolsa de horas y de haber impartido la transferencia de conocimientos, previa presentación de la respectiva factura y expedición del certificado de recibido a satisfacción y evaluación al contratista, por parte del Supervisor del Contrato.</t>
  </si>
  <si>
    <t xml:space="preserve">Contratar la suscripción al servicio de soporte, derechos de actualización de versiones y adquisición de licenciamiento para los módulos de la herramienta Proactivanet que posee Función Pública, acorde con la Ficha Técnica del proceso. </t>
  </si>
  <si>
    <t>TCM TECNOLOGÍAS CON CLASE MUNDIAL S.A.S</t>
  </si>
  <si>
    <t>162-2018</t>
  </si>
  <si>
    <t xml:space="preserve">YUDI MARCELA CASTIBLANCO  TORRES </t>
  </si>
  <si>
    <t>Hasta el veintiocho (28) de diciembre de 2018, contado a partir del perfeccionamiento del mismo, previo registro presupuestal y aprobación de pólizas.</t>
  </si>
  <si>
    <t>Función Pública cancelará el valor del contrato, en tres (3) pagos, previa presentación de la respectiva factura y expedición del certificado de recibido a satisfacción y evaluación al contratista por parte del Supervisor del Contrato, sin que el monto total de los servicios suministrados pueda exceder la cuantía total del contrato</t>
  </si>
  <si>
    <t>Adquisición de la dotación de labor, para el Servidor de Función Pública, que realiza las funciones de mantenimiento y reparaciones locativas de la planta física de la Entidad, acorde con las especificaciones técnicas establecidas en la Ficha Técnica del presente documento.</t>
  </si>
  <si>
    <t>RES-Q SOLUTIONS S.A.S</t>
  </si>
  <si>
    <t>163-2018</t>
  </si>
  <si>
    <t>Un (1) mes contado a partir de la expedición
del registro presupuesta!.</t>
  </si>
  <si>
    <t>La 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</si>
  <si>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Adquirir los Periféricos para los equipos de cómputo y las Unidades de Imagen para las
Impresoras Lexmark de Función Pública, de conformidad con los lineamilentos establecidos en la Tienda Virtual del Estado Colombiano - Grandes Superficies.</t>
  </si>
  <si>
    <t>PANAMERICANA LIBRERÍA Y PAPELERÍA</t>
  </si>
  <si>
    <t>168-2018</t>
  </si>
  <si>
    <t>Un (1) solo pago, a la entrega de los equipos, instalación y configuración de los mismos en el Grupo de Servicio al Ciudadano Institucional, previa presentación de la factura, y la expedición del certificado de recibido a satisfacción y evaluación al contratista, por parte del Supervisor del Contrato, sin que el monto total pueda exceder la cuantía total del mismo.</t>
  </si>
  <si>
    <t>Adquisición, instalación y puesta en funcionamiento de los equipos para el Sistema de Digiturnos Web - STW de propiedad de Función Pública.</t>
  </si>
  <si>
    <t>E&amp;M INGENIERIA SAS</t>
  </si>
  <si>
    <t>166-2018</t>
  </si>
  <si>
    <t xml:space="preserve">Un (1) mes contado a partir de la expedición
del registro presupuesta!. </t>
  </si>
  <si>
    <t>Función Pública pagará el valor del contrato en un (1) solo pago, por un valor estimado de DOCE MILLONES CIENTO NOVENTA Y SIETE MIL QUINIENTOS PESOS ($12'197.500) M/CTE, incluido IVA y demás gastos asociados, dentro de los treinta (30) días siguientes a la presentación de la factura y a la expedición del certificado de recibido a satisfacción por parte del Supervisor del Contrato, sin</t>
  </si>
  <si>
    <t>Adquirir una fotocopiadora de trabajo pesado para el centro de copiado del Departamento Administrativo de la Función Pública.</t>
  </si>
  <si>
    <t>165-2018</t>
  </si>
  <si>
    <t>GLORIA RUTH MUTIS GAITAN</t>
  </si>
  <si>
    <t>un (1) solo pago, por un valor estimado de VEINTIÚN MILLONES SETECIENTOS OCHENTA Y SEIS MIL SEISCIENTOS TREINTA Y NUEVE PESOS ($21.786.639,00)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</si>
  <si>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Adquirir los tóner y cartuchos para las impresoras de color y fotocopiadoras de Función Pública.</t>
  </si>
  <si>
    <t>164-2018</t>
  </si>
  <si>
    <t>169-2018</t>
  </si>
  <si>
    <t>INSTITUCIONAL STAR SERVICES LTDA</t>
  </si>
  <si>
    <t xml:space="preserve">Adquirir los elementos de papelería, útiles de escritorio y oficina, necesarios para el normal funcionamiento de Función Pública, según las especificaciones mínimas establecidas en la ficha técnica del presente documento. </t>
  </si>
  <si>
    <t>Función Pública pagará el valor del Contrato, de conformidad con las condiciones estipuladas por Colombia Compra Eficiente, en el Acuerdo Marco de Precios CCE-432-1-AMP-2016, para el suministro de papelería y útiles de oficina, previa presentación de la respectiva factura y expedición del certificado de recibido a satisfacción por parte del Supervisor del Contrato, sin que el monto total de los servicios de soporte pueda exceder la cuantía total del contrato.</t>
  </si>
  <si>
    <t>Treinta (30) días calendario de conformidad con lo estipulado por el acuerdo marco de precios de Colombia Compra Eficiente.</t>
  </si>
  <si>
    <t>170-2018</t>
  </si>
  <si>
    <t>EXPERTOS INGENIEROS SAS</t>
  </si>
  <si>
    <t>Instalar y certificar nuevos puntos de cableado estructurado, en el edificio sede del Departamento Administrativo de la Función Pública.</t>
  </si>
  <si>
    <t>Un (1) solo pago, previa la Instalación y certificación del cableado estructurado en el edificio sede de Función Pública, presentación de la factura y la expedición del Certificado de Recibido a Satisfacción por parte del Supervisor del Contrato, sin que el monto total pueda exceder la cuantía total del mismo.</t>
  </si>
  <si>
    <t>Un (1) mes contado a partir del perfeccionamiento del mismo, registro presupuestal y aprobación de pólizas.</t>
  </si>
  <si>
    <t xml:space="preserve">Rótulos presaplique REF 3611 Tamaño 107.9 x 46.5 mm
Rollo cinta térmica Datamax mclass
Rollo de sticker para impresora Datamax mclass
</t>
  </si>
  <si>
    <t>55121503
44103124
44121634</t>
  </si>
  <si>
    <t>Adquirir elementos para la carnetización del personal de la entidad , cajas para el archivo de documentos y tajalapiz eléctrico</t>
  </si>
  <si>
    <t xml:space="preserve">
44102002 
55121807
44111515
44121636
</t>
  </si>
  <si>
    <t>3,5 MESES</t>
  </si>
  <si>
    <t>Julián Mauricio Martínez Alvarado - Coordinador Grupo Gestion Administrativa 
Doris Atahualpa Polanco - Coordinadora Grupo de Gestión Contractual</t>
  </si>
  <si>
    <t>Para adelantar proceos contractual de mantenimiento vehículos se necesita $8,6 millones.</t>
  </si>
  <si>
    <t>OJO SALDO PARA CONTRATO CON CISA</t>
  </si>
  <si>
    <t>DIRECCION</t>
  </si>
  <si>
    <t>ADQUSICIÓN DE TELÉFONO CELULAR 4 G  PARA LA DIRECCION DEL DEPARTAMENTO</t>
  </si>
  <si>
    <t>2 0 4 1 26 EQUIPO DE COMUNICACIONES</t>
  </si>
  <si>
    <t>UZ MARY RIAÑO EXT. 530 lriano@funcionpublica.gov.co</t>
  </si>
  <si>
    <t>TOTAL</t>
  </si>
  <si>
    <t xml:space="preserve">ADICIONAR CONTRATO POR $6 MILLONES POR INCREMENTO SALARIAL 2018 </t>
  </si>
  <si>
    <t>ADICIONAR CONTRATO POR $73´061.000</t>
  </si>
  <si>
    <t>Para cubrir parte de gastos de personal</t>
  </si>
  <si>
    <t>llantas de  vehiculos segundo semestre 2 millones y parte para gadtos de personal.</t>
  </si>
  <si>
    <t>para caja menor</t>
  </si>
  <si>
    <t>pendiente para arreglos locativos 3 piso adecuación.</t>
  </si>
  <si>
    <t>para cubrir servicios de vehículos</t>
  </si>
  <si>
    <t>pendiente para gastos de personal</t>
  </si>
  <si>
    <t>GRUPO GESTIÓN ADMINISTRATIVA</t>
  </si>
  <si>
    <t>2 0 4 4 17 PRODUCTOS DE ASEO Y LIMPIEZA</t>
  </si>
  <si>
    <t>ADQUISICIÓN DE ELEMENTOS DE ASEO Y LIMPIEZA</t>
  </si>
  <si>
    <t>SECRETARÍA GENERAL - GRUPO GESTIÓN HUMANA</t>
  </si>
  <si>
    <t xml:space="preserve">Adquisición de la dotación de labor y elementos de trabajo </t>
  </si>
  <si>
    <t xml:space="preserve">(vestidos, hombre, vestidos mujer, calzado, batas, overoles y botas, </t>
  </si>
  <si>
    <t xml:space="preserve">Chalecos y pitos (brigadistas)) para los servidores de la Función Pública. </t>
  </si>
  <si>
    <t>DIRECCIÓN DE GESTIÓN DE CONOCIMIENTO</t>
  </si>
  <si>
    <t>SECRETARIA GENERAL - GRUPO DE GESTION CONTRACTUAL</t>
  </si>
  <si>
    <t>SECRETARIA GENERAL - GRUPO DE SERVICIO AL CIUDADANO INSTITUCIONAL</t>
  </si>
  <si>
    <t>Prestar servicios profesionales para apoyar a la DIRECCION DE DESARROLLO ORGANIZACIONAL  de Función Pública</t>
  </si>
  <si>
    <t>Prestar servicios profesionales para apoyar a la DIRECCION DE EMPLEO PUBLICOde Función Pública</t>
  </si>
  <si>
    <t>Prestar servicios profesionales para apoyar a la DIRECCIÓN DE GESTIÓN DE CONOCIMIENTOde Función Pública</t>
  </si>
  <si>
    <t>Prestar servicios profesionales para apoyar a la DIRECCION DE GESTION Y DESEMPEÑO INSTITUCIONALde Función Pública</t>
  </si>
  <si>
    <t>Prestar servicios profesionales para apoyar a la DIRECCION DE PARTICIPACION, TRANSPARENCIA Y SERVICIO AL CIUDADANOde Función Pública</t>
  </si>
  <si>
    <t>Prestar servicios profesionales para apoyar a la DIRECCION JURIDICAde Función Pública</t>
  </si>
  <si>
    <t>Prestar servicios profesionales para apoyar a la OFICINA ASESORA DE COMUNICACIONESde Función Pública</t>
  </si>
  <si>
    <t>Prestar servicios profesionales para apoyar a la OFICINA ASESORA DE PLANEACIONde Función Pública</t>
  </si>
  <si>
    <t>Prestar servicios profesionales para apoyar a la SECRETARIA GENERAL - GRUPO DE GESTION CONTRACTUALde Función Pública</t>
  </si>
  <si>
    <t>Prestar servicios profesionales para apoyar a la SECRETARIA GENERAL - GRUPO DE SERVICIO AL CIUDADANO INSTITUCIONALde Función Pública</t>
  </si>
  <si>
    <t>Prestar servicios profesionales para apoyar a la SUBDIRECCIÓNde Función Pública</t>
  </si>
  <si>
    <t>JULIANA TORRES
Ext. 920
dbeltran@funcionpublica.gov.co</t>
  </si>
  <si>
    <t>SONIA STELLA ROMERO TEL. 7395657 EXT. 855 gmartinez@funcionpublica.gov.co</t>
  </si>
  <si>
    <t>501-1000-1 RECURSO  10 FORTALECIMIENTO DE LOS SISTEMAS DE INFORMACION DEL EMPLEO PUBLICO EN COLOMBIA</t>
  </si>
  <si>
    <t>171-2018</t>
  </si>
  <si>
    <t>SUMIMAS S.A.S</t>
  </si>
  <si>
    <t>Adquisición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</si>
  <si>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CCE-538-1AMP-2017,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</si>
  <si>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Dos (2) meses, de conformidad con lo estipulado por el acuerdo marco de precios de Colombia Compra Eficiente.</t>
  </si>
  <si>
    <t>172-2018</t>
  </si>
  <si>
    <t>175-2018</t>
  </si>
  <si>
    <t>INVEMCO S.A.S.</t>
  </si>
  <si>
    <t>Adquirir los elementos de iluminación y ferretería que requiere el Departamento Administrativo de la Función Pública, según las especificaciones mínimas establecidas en el presente documento.</t>
  </si>
  <si>
    <t>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</si>
  <si>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 xml:space="preserve">Un (1) mes, contados a partir del perfeccionamiento del mismo y registro presupuestal; sin embargo, el contratista deberá hacer entrega de los elementos contratados, dentro de los quince (15) días siguientes al perfeccionamiento del contrato. </t>
  </si>
  <si>
    <t>176-2018</t>
  </si>
  <si>
    <t>Adquirir insumos de papelería y carnetización para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</si>
  <si>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</si>
  <si>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  </t>
  </si>
  <si>
    <t>177-2018</t>
  </si>
  <si>
    <t>SOFTWARE COLOMBIA SERVICIOS INFORMATICOS S.A.S</t>
  </si>
  <si>
    <t>Contratar la suscripción de una bolsa de correo masivo, con su respectivo soporte para Función Pública, acorde con la Ficha Técnica del proceso.</t>
  </si>
  <si>
    <t>Función Pública cancelará el valor del contrato en un (1) único pago, previa entrega del documento donde se indique el derecho de uso, de la Suscripción a la bolsa de correos masivos a nombre de Función Pública, la cuenta y clave de uso, así como la respectiva transferencia de conocimientos para la utilización del servicio.</t>
  </si>
  <si>
    <t>174-2018</t>
  </si>
  <si>
    <t>COLOMBIANA DE COMERCIO S.A. Y/O ALKOSTO S.A.</t>
  </si>
  <si>
    <t>Adquirir un dispositivo móvil para el uso  de la Dirección General de Función Pública.</t>
  </si>
  <si>
    <t>Función Pública pagará el valor del contrato en un (1) solo pago, por valor de DOS MILLONES SETECIENTOS CUARENTA Y NUEVE MIL PESOS ($2.749.000,00)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</si>
  <si>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En todo caso el Contratista deberá entregar a Función Pública, los bienes a más tardar dentro de los cinco (5) días hábiles siguientes, a la fecha de la colocación de la Orden de Compra en la Tienda Virtual del Estado Colombiano.  </t>
  </si>
  <si>
    <t>173-2018</t>
  </si>
  <si>
    <t>GESTIÓN DE SEGURIDAD ELECTRÓNICA S.A.</t>
  </si>
  <si>
    <t>Prestar el servicio de Correo Electrónico Certificado, que proporcionen notificación electrónica por e-mail para Función Pública, optimizando la administración del correo electrónico actual.</t>
  </si>
  <si>
    <t>Función Pública pagará el valor total del contrato en un (1) único pago, una vez perfeccionado el contrato, a la entrega de la carta en la que el contratista indique que se encuentra a disposición de la entidad los once mil (11.000) correos electrónicos certificados, previa presentación de la factura y expedición del certificado de recibido a satisfacción por parte del supervisor del contrato.</t>
  </si>
  <si>
    <t>Dos (2) años o hasta agotar los once mil (11.000) correos electrónicos certificados, lo que primero ocurra, contados a partir del perfeccionamiento del mismo, registro presupuestal y entrega de la carta en la que el contratista indique que se encuentra a disposición de la entidad los servicios adquiridos.</t>
  </si>
  <si>
    <t xml:space="preserve">81111500
81111800
81112200
</t>
  </si>
  <si>
    <t>81111500
81111800
81112200
81111812</t>
  </si>
  <si>
    <t>81112200
81111500
81111800
43232300
81112500
81112501</t>
  </si>
  <si>
    <t>Suscripción a los servicios de soporte de TOAD, con el fin de fortalecer y modernizar los recursos tecnológicos de la FUNCIÓN PÚBLICA, acorde con las Especificaciones Técnicas</t>
  </si>
  <si>
    <t>Adquirir la suscripción al Licenciamiento Office 365 y la bolsa de horas de servicios Microsoft, para soporte especializado y capacitación, según las características señaladas en el anexo técnico.</t>
  </si>
  <si>
    <t>81112200
81111500
81111800
81112500
81112501</t>
  </si>
  <si>
    <t>81111500
81111800
81112200
43233200
43233205</t>
  </si>
  <si>
    <t>32131000
39121000
81111500
32131023.</t>
  </si>
  <si>
    <t>Prestar servicios profesionales para apoyar a la Oficina Asesora de Comunicaciones de Función Pública</t>
  </si>
  <si>
    <t>DIANA MARÍA BOHORQUEZ
EXT. 520 dbohorquez@funcionpublica.gov.co</t>
  </si>
  <si>
    <t>Prestar servicios profesionales para apoyar a la Dirección de Gestión del Conocimiento de Función Pública</t>
  </si>
  <si>
    <t>JULIANA TORRES QUIJANO
EXT. 920 jtorres@funcionpublica.gov.co</t>
  </si>
  <si>
    <t>178-2018</t>
  </si>
  <si>
    <t>ENTELGY COLOMBIA SAS</t>
  </si>
  <si>
    <t>Contratar la suscripción y soporte técnico para el licenciamiento Liferay DXP, conforme a las especificaciones técnicas exigidas.</t>
  </si>
  <si>
    <t>Un (1) único pago, previa entrega de las cuatro (4) licencias del software Liferay DXP, junto con las claves u order id, para acceder a la activación de las licencias, y el soporte de Liferay DXP modalidad GOLD 8*5, así como la autorización y procedimiento para descargar las tres (3) licencias de Generador de Encuestas RTG Survey a perpetuidad para Liferay DXP,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</si>
  <si>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Un (1) año, para la suscripción y soporte técnico del licenciamiento Liferay DXP, contado a partir de la entrega de la carta o documento, donde indique la suscripción y los derechos de dicho servicio, en todo caso el Contratista dispone de cinco (5) días calendario, contados a partir del perfeccionamiento del Contrato, registro presupuestal y aprobación de pólizas</t>
  </si>
  <si>
    <t>179-2018</t>
  </si>
  <si>
    <t>MAKRO SUPERMAYORISTA S.A.S</t>
  </si>
  <si>
    <t>Adquirir (68) rollos de papel higiénico de doscientos cincuenta (250) metros de longitud para la sede del edificio de Función Pública, de conformidad con los lineamientos establecidos en la Tienda Virtual del Estado Colombiano – Grandes Superficies.</t>
  </si>
  <si>
    <t xml:space="preserve">Un (1) mes contado a partir de la expedición del registro presupuestal. </t>
  </si>
  <si>
    <t xml:space="preserve">EDWIN SÁNCHEZ ROZO </t>
  </si>
  <si>
    <t>180-2018</t>
  </si>
  <si>
    <t>PANAMERICANA LIBRERÍA Y PAPELERÍA S.A.</t>
  </si>
  <si>
    <t>Adquisición de sillas ergonómicas giratorias para Función Pública, conforme las condiciones técnicas establecidas en el presente documento.</t>
  </si>
  <si>
    <t>Un (1) solo pago, por un valor estimado de: DIECINUEVE MILLONES SETECIENTOS OCHENTA Y CUATRO MIL NOVECIENTOS CUARENTA PESOS ($19.784.940.00)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</si>
  <si>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</si>
  <si>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Un (1) mes, contado a partir del perfeccionamiento del mismo, previo registro presupuestal y aprobación de pólizas.</t>
  </si>
  <si>
    <t>182-2018</t>
  </si>
  <si>
    <t>1 MESES</t>
  </si>
  <si>
    <t>ALEJANDRO BECKER  Ext. 820 abecker@funcionpublica.gov.co</t>
  </si>
  <si>
    <t>SONIA STELLA ROMERO EXT. 850 sromero@funcionpublica.gov.co</t>
  </si>
  <si>
    <t>OFICINA ASESORA DE PLANEACIÓN</t>
  </si>
  <si>
    <t>44121708
44122104
14111519
14121901
31201522</t>
  </si>
  <si>
    <t>JULIAN MAURICIO MARTINEZ ALVARADO
COORDINADOR GRUPO GESTIÓN ADMINISTRATIVA</t>
  </si>
  <si>
    <t>Adquisicíon insumos y papelería para adelantar actividades del proyecto</t>
  </si>
  <si>
    <t>254-1</t>
  </si>
  <si>
    <t>55101519
82111900
82101500</t>
  </si>
  <si>
    <t>TRASLADO DEFINTIIVO ENTRE RUBROS</t>
  </si>
  <si>
    <t xml:space="preserve">55101519
</t>
  </si>
  <si>
    <r>
      <t>Publicación de Edictos y convocatorias del Departamento Administrativo de la Función Pública en un diario de amplia circulación Nacional</t>
    </r>
    <r>
      <rPr>
        <b/>
        <sz val="18"/>
        <rFont val="Arial"/>
        <family val="2"/>
      </rPr>
      <t xml:space="preserve"> ( declarada desierta)</t>
    </r>
  </si>
  <si>
    <t>224-2018</t>
  </si>
  <si>
    <t>SOFTWARE IT SAS</t>
  </si>
  <si>
    <t>Contratar la renovación de la suscripción anual de las Licencias de Adobe Creative Cloud for Teams suite completa, que utiliza Función Pública, según las especificaciones técnicas mínimas establecidas en el presente documento.</t>
  </si>
  <si>
    <t xml:space="preserve">Función Pública cancelará el valor total del contrato en un (1) único pago, una vez realizado el perfeccionamiento del mismo, expedido el registro presupuestal, efectuada la aprobación de pólizas y realizada la entrega del documento donde se indique la suscripción al Licenciamiento de las cuatro (4) Licencias de la Suite de Adobe a nombre del Departamento Administrativo de la Función Pública, la cuenta y clave de uso de la consola, así como el respectivo ingreso al almacén de la Entidad de las licencias. 
</t>
  </si>
  <si>
    <t>Será de un (1) año contado a partir del quince (15) de agosto de 2018. En todo caso, el contratista dispone de cinco (5) hábiles, previos al vencimiento de las licencias actuales, para la entrega de la suscripción de la renovación del Licenciamiento, el cual debe estar registrado en la plataforma del fabricante.</t>
  </si>
  <si>
    <t>SANDRA YASMIN FLOREZ ABRIL</t>
  </si>
  <si>
    <t>223-2018</t>
  </si>
  <si>
    <t>ORACLE COLOMBIA LTDA.</t>
  </si>
  <si>
    <t>Adquirir la renovación del servicio de soporte del Software Update License and Support (SULS), para todo el licenciamiento Oracle y los Servicios de Soporte Técnico de Hardware Oracle Premier Support for Systems para el equipo ODA que posee Función Pública, conforme a los lineamientos establecidos en el Contrato de Agregación de Demanda N° CCE- 211-AG-2015, con cargo al Proyecto de Inversión “Mejoramiento, fortalecimiento, de la capacidad institucional para el desarrollo de políticas públicas nacional.</t>
  </si>
  <si>
    <t>La Función Pública pagará el valor del Contrato, de conformidad con las condiciones que estipuladas por Colombia Compra Eficiente en el Acuerdo Marco de Precios, para la adquisición de para la actualización y renovación del servicio de soporte del Software Update License and Support (SULS) y Oracle Premier Support for Systems para el equipo ODA que posee la Función Pública, previa presentación de la respectiva factura y expedición del certificado de recibido a satisfacción por parte del Supervisor del Contrato, sin que el monto total de los servicios suministrados pueda exceder la cuantía total del contrato.</t>
  </si>
  <si>
    <t>Se contará a partir del veinticinco (25) de septiembre de 2018 y hasta el cuatro (4) de octubre del 2019, previo registro presupuestal.</t>
  </si>
  <si>
    <t>RAFAEL HUMBERTO RODRIGUEZ BARRIOS</t>
  </si>
  <si>
    <t>205-2018</t>
  </si>
  <si>
    <t>SERVIASEO S.A.</t>
  </si>
  <si>
    <t>Prestar el Servicio Integral de Aseo y Cafetería, incluidos los elementos que se detallan en la ficha técnica del Acuerdo Marco de Precios, en las instalaciones físicas del Departamento Administrativo de la Función Pública, ubicadas en la Carrera 6 Nº 12 - 62 de la ciudad de Bogotá D.C.</t>
  </si>
  <si>
    <t>Función Pública pagará el valor del Contrato, de conformidad con las condiciones estipuladas por Colombia Compra Eficiente, en el Acuerdo Marco de Precios resultante de la Licitación Pública LP-AMP-111-2016, con vigencia hasta el 5 de Diciembre de 2018, para el servicio integral de aseo y cafetería , previa presentación de la respectiva factura y expedición del certificado de recibido a satisfacción por parte del Supervisor del mismo, sin que el monto total de los servicios de soporte pueda exceder la cuantía total del contrato.</t>
  </si>
  <si>
    <t>Cinco (5) meses, contados a partir del dieciseis (16) de julio de 2018, previa expedicion de la orden de Compra y Registro Presupuestal, de conformidad con lo estipulado por el Acuerdo Marco de Precios de Colombia Compra Eficiente.</t>
  </si>
  <si>
    <t xml:space="preserve">IVAN ADOLFO MORANTES MOJICA </t>
  </si>
  <si>
    <t>200-2018</t>
  </si>
  <si>
    <t>Prestar los servicios profesionales en la Dirección de Desarrollo Organizacional de Función Pública, para apoyar el desarrollo, seguimiento, monitoreo y evaluación de la Estrategia de Gestión Territorial en su tercera Fase.</t>
  </si>
  <si>
    <t xml:space="preserve">Seis (6) pagos así: a) cinco (5) mensualidades vencidas , cada una por valor  de ONCE MILLONES DOSCIENTOS NOVENTA MIL PESOS ($11'290.000) M/CTE, y b) un pago final por CINCO MILLONES SEISCIENTOS CUARENTA Y CINCO MIL PESOS ($5'645.000) M/CT E </t>
  </si>
  <si>
    <t>Hasta el veintiuno (21) de diciembre de 2018, contado a partir del perfeccionamiento del mismo y registro presupuestal.</t>
  </si>
  <si>
    <t>204-2018</t>
  </si>
  <si>
    <t>Prestar los servicios profesionales en la Dirección de Desarrollo Organizacional de Función Pública, para apoyar el seguimiento en cuanto a la consolidación de metas y recursos, en la implementación de la Estrategia de Gestión Territorial en su tercera fase.</t>
  </si>
  <si>
    <t>Seis (6) pagos así: a) cinco (5) mensualidades vencidas, cada una por valor de CINCO MILLONES OCHO MIL PESOS ($5’008.000) M/CTE, y b) Un último pago por valor de DOS MILLONES TRESCIENTOS TREINTA Y SIETE MIL SESENTA Y SIETE PESOS ($2’337.067) M/CTE</t>
  </si>
  <si>
    <t>212-2018</t>
  </si>
  <si>
    <t>Prestar los servicios profesionales en la Dirección de Desarrollo Organizacional de Función Pública, para apoyar el fortalecimiento metodológico de las asesorías en territorio y los aspectos técnicos de la Estrategia de Gestión Territorial en su tercera fase, durante el segundo semestre de 2018.</t>
  </si>
  <si>
    <t>Seis (6) pagos así: a) cinco (5) mensualidades vencidas, cada una por valor de SIETE MILLONES CIENTO SESENTA Y SEIS MIL PESOS ($7’166.000) M/CTE., y b) un pago final por TRES MILLONES TRESCIENTOS CUARENTA Y CUATRO MIL CIENTO TREINTA Y TRES PESOS ($3.344.133)</t>
  </si>
  <si>
    <t>225-2018</t>
  </si>
  <si>
    <t>Prestar los Servicios Profesionales en la Direccion de Desarrollo Organizacional de la Función Publica, para apoyar el desarrollo de la tercera fase del proyecto de analisis sectoriales, de la Estrategia de Desarrollo de Capacidad de entidades Publicas y la programacion de la segunda etapa de implementacion de analisis sectoriales</t>
  </si>
  <si>
    <t xml:space="preserve">Cinco (5) meses, contado a partir del perfeccionamiento del mismo y registro presupuestal </t>
  </si>
  <si>
    <t>HUGO ARMANDO PEREZ BALLESTEROS</t>
  </si>
  <si>
    <t>214-2018</t>
  </si>
  <si>
    <t xml:space="preserve">Prestar los servicios profesionales en Función Pública, para apoyar el proceso administrativo de otorgamiento de comisiones de servicio y desplazamientos de los servidores y contratistas en el país, en ejecución de la tercera fase de la Estrategia de Gestión Territorial. </t>
  </si>
  <si>
    <t>Seis (6) pagos así: a) cinco (5) mensualidades vencidas, cada una por valor de DOS MILLONES OCHOCIENTOS MIL PESOS ($2.800.000) M/CTE, y b) un pago final por UN MILLÓN DOSCIENTOS TRECE MIL TRESCIENTOS TREINTA Y TRES PESOS ($1.213.333) M/CTE</t>
  </si>
  <si>
    <t xml:space="preserve">DIANA MARCELA GÓMEZ ANZOLA </t>
  </si>
  <si>
    <t xml:space="preserve">Prestar los servicios profesionales en la Dirección de Empleo Público de Función Pública, para apoyar la implementación y seguimiento de la cuarta (4) Convocatoria del Programa Estado Joven y del Programa Servimos, y apoyar la supervisión de los contratos y convenios a cargo de la Dirección de Empleo Público. </t>
  </si>
  <si>
    <t>Seis (6) pagos, así: a) cinco (5) mensualidades vencidas, cada una por valor de SEIS MILLONES TRESCIENTOS MIL PESOS ($6´300.000) M/CTE., incluido IVA y demás gastos asociados a la ejecución del contrato; y, b) Un último pago, por valor de CUATRO MILLONES DOSCIENTOS MIL PESOS ($4’200.000) M/CTE.</t>
  </si>
  <si>
    <t xml:space="preserve">FRANCISCO ALFONSO CAMARGO SALAS  </t>
  </si>
  <si>
    <t>190-2018</t>
  </si>
  <si>
    <t>Prestar servicios profesionales en la Dirección de Gestión del Conocimiento de Función Pública, para apoyar las actividades encaminadas a compartir buenas prácticas con pares internacionales, además de contribuir al desarrollo de la dimensión de Gestión del Conocimiento y la Innovación del Modelo Integrado de Planeación y Gestión (MIPG).</t>
  </si>
  <si>
    <t>Seis (6) pagos, así: a) cinco (5) mensualidades vencidas, cada  una por valor de CINCO MILLONES DOSCIENTOS TREINTA Y UN MIL PESOS ($5.231.000) M/CTE, b) un último pago con corte al 21 de diciembre de 2018, por un valor de UN MILLON NOVECIENTOS  DIECIOCHO  MIL  TREINTA  Y  TRES  PESOS  ($1.918.033)
M/CTE.</t>
  </si>
  <si>
    <t xml:space="preserve"> JULIANA TORRES QUIJANO </t>
  </si>
  <si>
    <t>193-2018</t>
  </si>
  <si>
    <t>ASTRID JULIANA TORRES GARZÓN</t>
  </si>
  <si>
    <t>Prestar los servicios de apoyo a la gestión en la Dirección de Gestión del Conocimiento de Función Pública, en la realización de las actividades necesarias, para la implementación y seguimiento de la estrategia de gestión internacional como parte del proceso de construcción de conocimiento.</t>
  </si>
  <si>
    <t>Seis (6) pagos, así: a) cinco (5) mensualidades vencidas, cada una por valor de UN MILLON NOVECIENTOS NUEVE MIL PESOS ($1.909.000) M/CTE., incluido IVA y demás gastos asociados a la ejecución del contrato, previa presentación del informe de ejecución correspondiente y del certificado de cumplimiento y evaluación del contratista firmado por el supervisor, sin que el monto total de los servicios prestados, pueda exceder la cuantía total del contrato; y, b) un (1) último pago con corte al veintiuno (21) de diciembre de 2018, por un valor de SEISCIENTOS NOVENTA Y NUEVE MIL NOVECIENTOS SESENTA Y SEIS PESOS ($699.966) M/CTE.</t>
  </si>
  <si>
    <t xml:space="preserve">JULIANA TORRES QUIJANO </t>
  </si>
  <si>
    <t>198-2018</t>
  </si>
  <si>
    <t>Prestar los servicios profesionales en la Dirección de Gestión y Desempeño Institucional de Función Pública, para gestionar los ajustes a la medición del Modelo Integrado de Planeación y Gestión - MIPG, de cada una de las políticas que lo componen, así como revisar y documentar su incidencia, en el desempeño institucional de las entidades objeto de su aplicación</t>
  </si>
  <si>
    <t>Seis pagos, así: a) cinco (5) mensualidades vencidas, cada una por valor de CINCO MILLONES DE PESOS ($5.000.000) M/CTE., incluido IVA y demás gastos asociados a la  ejecución, previa presentación del informe de ejecución correspondiente y del certificado de cumplimiento y evaluación del contratista firmado por el supervisor , sin que el monto total de los servicios prestados pueda exceder la cuantía total de cada contrato; y, b)  un pago  final por valor de UN MILLON OCHOCIENTOS TREINTA Y CUATRO MIL PESOS ($1'834.000) M/CTE.</t>
  </si>
  <si>
    <t xml:space="preserve">EVA MERCEDES ROJAS VÁLDES </t>
  </si>
  <si>
    <t>188-2018</t>
  </si>
  <si>
    <t xml:space="preserve">EDINSON GABRIEL MALAGÓN MAYORGA     </t>
  </si>
  <si>
    <t xml:space="preserve">Prestar los servicios profesionales en la Dirección de Gestión del Conocimiento de Función Pública, para apoyar la articulación, implementación y seguimiento de la Estrategia de Cambio Cultural. </t>
  </si>
  <si>
    <t>Tres (3) mensualidades vencidas, cada una por valor de NUEVE MILLONES QUINIENTOS MIL PESOS ($9’500.000) M/CTE.</t>
  </si>
  <si>
    <t>199-2018</t>
  </si>
  <si>
    <t>Prestar los servicios profesionales en la Dirección de Gestión y Desempeño Institucional de Función Pública, para apoyar la elaboración e implementación de metodologías estadísticas, que permitan medir el desempeño de las entidades públicas, .objeto de aplicación del Modelo  Integrado de Planeación y Gestión MIPG.</t>
  </si>
  <si>
    <t>196-2018</t>
  </si>
  <si>
    <t xml:space="preserve">Prestar los servicios profesionales en la Dirección de Gestión del Conocimiento de Función Pública, para apoyar el desarrollo y socialización de documentos en el marco de “El Estado del Estado”, la elaboración de reportes para el Plan Marco de Implementación del Acuerdo Final, así como en los temas relacionados con el desarrollo de la dimensión de Gestión del Conocimiento y la Innovación del Modelo Integrado de Planeación y Gestión (MIPG). </t>
  </si>
  <si>
    <t xml:space="preserve">Dos (2) mensualidades vencidas, cada una por valor de SEIS MILLONES DE PESOS ($6’000.000) M/CTE </t>
  </si>
  <si>
    <t>202-2018</t>
  </si>
  <si>
    <t>Prestar los servicios profesionales en la Dirección de Participación, Transparencia y Servicio al Ciudadano de Función Pública, para apoyar el seguimiento y la implementación  de  compromisos  nacionales  e internacionales,  relacionados  con las  políticas de  la  Dirección,  así  como,  la  implementación  de  las  herramientas orientadas a la interiorización de la cultura de integridad.</t>
  </si>
  <si>
    <t>Seis (6) pagos así: a) Cinco (5) mensualidades vencidas, cada una  por valor  de  TRES  MILLONES OCHOCIENTOS  NOVENTA Y  CINCO  MIL PESOS ($3'895.000) M/CTE., incluido
IVA y demás gastos asociados a la ejecución , y b) un último pago por valor de UN MILLÓN CIENTO  SESENTA  Y  OCHO  MIL  QUINIENTOS  PESOS  ($1' 168.500)
M/CTE</t>
  </si>
  <si>
    <t>201-2018</t>
  </si>
  <si>
    <t>Prestar los servicios profesionales en la Dirección de Participación, Transparencia y Servicio al Ciudadano de Función Pública, para apoyar la emisión de conceptos técnicos y jurídicos , respecto de las solicitudes de aprobación de nuevos trámites y modificaciones  estructurales de los existentes , así como en la respuesta a las solicitudes que deba resolver la Dirección, en la implementación de las políticas a su cargo.</t>
  </si>
  <si>
    <t>Seis (6) pagos así: a) Cinco (5) mensualidades vencidas por valor de ($7'350.000) M/CTE; y b) Un último (1) pago por valor de DOS MILLONES DOSCIENTOS CINCO MIL PESOS ($2'205.000) M/CTE.</t>
  </si>
  <si>
    <t>215-2018</t>
  </si>
  <si>
    <t>Prestar los servicios de apoyo a la gestión en la Dirección Jurídica de Función Pública, para la actualización del Gestor Normativo de la Entidad en lo referente a la digitación, cargue, descargue, corrección y depuración de la información, de acuerdo con los lineamientos del líder funcional y el supervisor del contrato.</t>
  </si>
  <si>
    <t>Seis (6) pagos así: a) Cinco (5) mensualidades vencidas, cada una por valor de UN MILLÓN SEISCIENTOS OCHENTA Y CINCO MIL PESOS ($1’685.000) M/CTE y b) Un pago final el veintiuno (21)  de diciembre de 2018, correspondiente a la suma de DOSCIENTOS OCHENTA MIL OCHOCIENTOS TREINTA Y TRES PESOS ($280’833) M/CTE</t>
  </si>
  <si>
    <t xml:space="preserve">HAROLD ISRAEL HERREÑO SUAREZ </t>
  </si>
  <si>
    <t>226-2018</t>
  </si>
  <si>
    <t>Prestar los servicios profesionales en la Dirección Jurídica de Función Pública, para apoyar la implementación y socialización del modelo de gestión jurídica, así como en los aspectos jurídicos relativos a la Contratación Estatal de la Entidad.</t>
  </si>
  <si>
    <t>213-2018</t>
  </si>
  <si>
    <t>DIEGO CAMILO ARGUELLO</t>
  </si>
  <si>
    <t xml:space="preserve">Prestar los servicios profesionales en la Oficina Asesora de Comunicaciones de Función Pública, para apoyar la generación de contenidos informativos, que permitan dinamizar la comunicación para la difusión de logros y legados de la Entidad, en el marco de la Estrategia de Comunicaciones. </t>
  </si>
  <si>
    <t>Seis (6) pagos, así: a) cinco (5) mensualidades vencidas, cada una por valor de CUATRO MILLONES DOSCIENTOS MIL PESOS ($4´200.000.oo) M/CTE. y b) Un último pago por valor de UN MILLÓN DOSCIENTOS SESENTA MIL PESOS ($1´260.000.oo) M/CTE</t>
  </si>
  <si>
    <t xml:space="preserve">DIANA MARIA BOHÓRQUEZ LOSADA </t>
  </si>
  <si>
    <t>207-2018</t>
  </si>
  <si>
    <t>LUIS ZENEN AREVALO MANTILLA</t>
  </si>
  <si>
    <t xml:space="preserve">Prestar los servicios profesionales en la Oficina Asesora de Comunicaciones de Función Pública, para apoyar la producción y generación de piezas gráficas y multimedia sobre los contenidos e información de la Entidad, en el marco de la Estrategia de Comunicaciones. </t>
  </si>
  <si>
    <t>Seis (6) pagos, así: a) cinco (5) mensualidades vencidas, cada una por valor de CUATRO MILLONES SETECIENTOS MIL PESOS ($4´700.000.oo) M/CTE. y b) Un último pago por valor de UN MILLÓN CUATROCIENTOS DIEZ MIL PESOS ($1´410.000.oo) M/CTE</t>
  </si>
  <si>
    <t>218-2018</t>
  </si>
  <si>
    <t>Prestar los servicios profesionales en la Oficina Asesora de Comunicaciones de Función Pública, para apoyar la implementación y desarrollo de la estrategia digital y su difusión, a través de las redes sociales institucionales de contenidos e información de la Entidad, en el marco de la Estrategia de Comunicaciones.</t>
  </si>
  <si>
    <t>Seis (6) pagos, así: a) cinco (5) mensualidades vencidas, cada una por valor de CUATRO MILLONES SETECIENTOS MIL PESOS ($4´700.000.oo) M/CTE. y b) Un último pago por valor de NOVECIENTOS CUARENTA MIL PESOS ($ 940.000) M/CTE</t>
  </si>
  <si>
    <t>187-2018</t>
  </si>
  <si>
    <t>BRANDON NUMBIER MARULANDA BERNAL</t>
  </si>
  <si>
    <t>Prestar los servicios de apoyo a la  gestión, en la Oficina Asesora de Comunicaciones de Función Pública, en lo relacionado con la realización de fotografías y reportería gráfica, para complementar los contenidos informativos generados por el área.</t>
  </si>
  <si>
    <t>Dos (2) mensualidades vencidas , cada una por  valor de UN MILLON NOVECIENTOS NUEVE MIL PESOS ($1'909.000) M/CTE</t>
  </si>
  <si>
    <t>203-2018</t>
  </si>
  <si>
    <t>Prestar los servicios profesionales en la Oficina Asesora de Planeación, para apoyar la implementación de los componentes del Modelo Integrado de Planeación y Gestión MIPG - Versión 2.</t>
  </si>
  <si>
    <t>Seis (6) pagos, así: a) cinco (5) mensualidades vencidas cada una por valor de CINCO MILLONES OCHO MIL PESOS ($5’008.000) M/CTE y, b) Un último pago por valor de DOS MILLONES TRESCIENTOS TREINTA Y CIENTE MIL SESENTA Y SIETE PESOS ($2’337.067) M/CTE.</t>
  </si>
  <si>
    <t>OLGA LUCIA ARANGO BARBARAN</t>
  </si>
  <si>
    <t>191-2018</t>
  </si>
  <si>
    <t>Prestar los servicios profesionales en la Oficina Asesora de Planeación, para apoyar la implementación de los componentes del Modelo Integrado de Planeación y Gestión MIPG-2, con el cumplimiento funcional de las herramientas del Sistema de Gestión Instituc ional y la documentación asociada al mismo.</t>
  </si>
  <si>
    <t xml:space="preserve">Seis pagos, así: a) Cinco (5) mensualidades vencidas , cada una por valor de TRES MILLONES SEISCIENTOS CUATRO MIL PESOS ($3'604.000) M/CTE y b)  Un último pago por valor de UN MILLON SEISCIENTOS OCHENTA Y UN MIL OCHOCIENTOS
SESENTA Y SIETE PESOS ($1'681.867) M/CTE
</t>
  </si>
  <si>
    <t>219-2018</t>
  </si>
  <si>
    <t>Prestar los servicios profesionales en la Oficina Asesora de Planeación de Función Pública, para apoyar el monitoreo y la generación de alertas, para el cumplimiento de las metas institucionales y sectoriales de la vigencia 2018, así como en la recolección de insumos, para la elaboración de la planeación institucional 2019.</t>
  </si>
  <si>
    <t>Seis (6) pagos, así: a) Cinco (5) mensualidades vencidas, cada una por valor de CINCO MILLONES QUINIENTOS DOCE MIL PESOS ($5´512.000) M/CTE., y, b)  un pago  final por valor de DOS MILLONES TRECIENTOS OCHENTA Y OCHO MIL QUINIENTOS TREINTA Y TRES MIL DE PESOS ($2´388.533) M/CTE.</t>
  </si>
  <si>
    <t>Hasta el veintiocho (28) de diciembre de 2018, contado a partir del perfeccionamiento del mismo y registro presupuestal.</t>
  </si>
  <si>
    <t>SONIA STELLA ROMERO TORRES</t>
  </si>
  <si>
    <t>221-2018</t>
  </si>
  <si>
    <t>ARLINGTON FONSECA LEMUS</t>
  </si>
  <si>
    <t xml:space="preserve">Prestar los servicios profesionales en la Oficina Asesora de Planeación de Función Pública, para apoyar el fortalecimiento de la calidad de la información estadística que produce Función Pública y del Sistema de Información Estratégica –SIE. </t>
  </si>
  <si>
    <t xml:space="preserve">a) Cinco (5) mensualidades vencidas cada una por valor de SIETE MILLONES SETECIENTOS CINCUENTA Y TRES MIL PESOS ($7’753.000) M/CTE. y b) un (1) pago final por valor de UN MILLÓN OCHOCIENTOS NUEVE MIL TREINTA Y TRES PESOS ($1’809.033) M/CTE. </t>
  </si>
  <si>
    <t>220-2018</t>
  </si>
  <si>
    <t xml:space="preserve">Prestar los servicios profesionales en la Oficina Asesora de Planeación de Función Pública, para adelantar la gestión necesaria para la implementación de los componentes del Modelo Integrado de Planeación y Gestión MIPG-2. </t>
  </si>
  <si>
    <t>Seis (6) pagos, así: a) cinco (5) mensualidades vencidas cada una por valor de CINCO MILLONES OCHO MIL PESOS ($5’008.000) M/CTE y, b) Un último pago por valor de UN MILLÓN MIL Y SEISCIENTOS PESOS ($1´001.600) M/CTE.</t>
  </si>
  <si>
    <t>Hasta el veintitres (23) de diciembre de 2018, contado a partir del perfeccionamiento del mismo y registro presupuestal.</t>
  </si>
  <si>
    <t>194-2018</t>
  </si>
  <si>
    <t>Prestar los servicios profesionales para apoyar desde el punto de vista financiero, la adquisición de bienes y servicios en la Oficina de Tecnologías de la Información y las Comunicaciones de Función Pública.</t>
  </si>
  <si>
    <t>Seis (6) pagos, así: a) cinco (5) mensualidades vencidas, cada una por valor de CUATRO MILLONES DOSCIENTOS CUARENTA MIL PESOS ($4'240.000) M/CTE., y b) un (1) pago final por DOS MILLONES CIENTO VEINTE MIL PESOS ($ 2'120.000,00) M/CTE.</t>
  </si>
  <si>
    <t xml:space="preserve">HECTOR JULIO MELO OCAMPO </t>
  </si>
  <si>
    <t>217-2018</t>
  </si>
  <si>
    <t>Prestar los servicios profesionales en Función Pública, para apoyar la verificación, actualización, implementación y mejora de los requerimientos funcionales del sistema de gestión de documentos electrónicos de archivo, así como las demás actividades relacionadas en gestión electrónica de documentos</t>
  </si>
  <si>
    <t>Cuatro (4) mensualidades vencidas, cada una por valor de CINCO MILLONES DE PESOS ($5’000.000) M/CTE.</t>
  </si>
  <si>
    <t>222-2018</t>
  </si>
  <si>
    <t>Prestar los servicios profesionales en la Oficina de Tecnologías de la Información y las Comunicaciones de Función Pública, para apoyar el desarrollo de software mejoramiento y actualización del FURAG II, así como en los sistemas de información misionales y portales que le sean asignados, aplicando los lineamientos de Gobierno Digital.</t>
  </si>
  <si>
    <t xml:space="preserve">Seis pagos así: a) Cinco (5) mensualidades, por valor de SIETE MILLONES DE PESOS ($7’000.000) M/CTE, y b) Un (1) pago final por valor de UN MILLON CUATROCIENTOS MIL PESOS ($1’400.000) </t>
  </si>
  <si>
    <t>208-2018</t>
  </si>
  <si>
    <t>Prestar los servicios profesionales en la Oficina de Tecnologías de la Información y las Comunicaciones de Función Pública, para apoyar las necesidades de desarrollo, actualización, migración, así como continuar la integración y mejoramiento de los aplicativos y sistemas de información y gestión misionales y de apoyo y los servicios y portales web que integran dichos sistemas, incorporando mejores prácticas en el desarrollo de software y los lineamientos de Gobierno Digital.</t>
  </si>
  <si>
    <t>Cinco (5) mensualidades vencidas, cada una por valor de SEIS MILLONES QUINIENTOS DIEZ MIL PESOS ($6’510.000) M/CTE., y un (1) pago final por DOS MILLONES TRESCIENTOS OCHENTA Y  SIETE MIL PESOS ($ 2’387.000)</t>
  </si>
  <si>
    <t xml:space="preserve">ASTRID RUIZ ZAMUDIO </t>
  </si>
  <si>
    <t>209-2018</t>
  </si>
  <si>
    <t xml:space="preserve">Cinco (5) mensualidades vencidas, cada una por valor de SEIS MILLONES QUINIENTOS DIEZ MIL PESOS ($6’510.000) M/CTE., y un (1) pago final por DOS MILLONES TRESCIENTOS OCHENTA Y  SIETE MIL PESOS ($ 2’387.000) </t>
  </si>
  <si>
    <t>227-2018</t>
  </si>
  <si>
    <t>Prestar los Servicios Profesionales en la Oficina de Tecnologías de la Información y las Comunicaciones de Función Pública, para apoyar el desarrollo de las nuevas funcionalidades del software del Sistema de Rendición de Cuentas, integración, actualización y migración al nuevo portal web de Función Pública, así como los procesos de administración del Sistema de Rendición de Cuentas, para la Implementación del Acuerdo de Paz y del Sistema de Banco de Éxitos.</t>
  </si>
  <si>
    <t>183-2018</t>
  </si>
  <si>
    <t xml:space="preserve">Prestar los servicios profesionales en el Grupo de Gestión Contractual de Función Pública, para apoyar el trámite y seguimiento de los procesos de selección objetiva, necesarios para la adquisición de bienes, servicios y obras requeridos por la Entidad. </t>
  </si>
  <si>
    <t>Seis (6) pagos así: a) Cinco (5) mensualidades vencidas, cada una por valor de CINCO MILLONES DE PESOS ($5’000.000) M/CTE. y b) Un último pago el 21 de diciembre de 2018, por valor de TRES MILLONES CIENTO SESENTA Y SEIS MIL SEISCIENTOS SESENTA Y SEIS PESOS ($3’166.666) M/CTE</t>
  </si>
  <si>
    <t>184-2018</t>
  </si>
  <si>
    <t>192-2018</t>
  </si>
  <si>
    <t>JULI AMANDA MUÑOZ CHOACHI</t>
  </si>
  <si>
    <t>Prestar los servicIos de apoyo a la gestión en el Grupo de Gestión Contractual de Función Pública, para el manejo, clasificación y archivo de la documentación generada, en desarrollo de los procesos de selección que se adelanten, para la adquisición de bienes y servicios requeridos por la Entidad.</t>
  </si>
  <si>
    <t>Cinco (5) mensualidades vencidas, cada una por valor de UN MILLÓN NOVECIENTOS NUEVE MIL PESOS ($1 '909.000) M/CTE, Y b) Un último pago por valor de SETECIENTOS SESENTA Y CUATRO MIL PESOS ($764'000) M/CTE,</t>
  </si>
  <si>
    <t>189-2018</t>
  </si>
  <si>
    <t xml:space="preserve">Prestar los servicios profesionales de apoyo en el Grupo de Servicio al Ciudadano Institucional de Función Pública, para el procesamiento, revisión de la información estadística  y  generación  de  reportes en desarrollo  del fortalecimiento  del  primer
nivel de servicio.
</t>
  </si>
  <si>
    <t>Seis (6) pagos así: a) cinco (5) mensualidades vencidas, cada una por valor de CINCO MILLONES DOSCIENTOS TREINTA Y UN MIL PESOS ($5'231.000) M/CTE y b) un último pago por valor de DOS MILLONES NOVENTA Y DOS MIL CUATROCIENTOS PESOS ($2'092.400) M/CTE.</t>
  </si>
  <si>
    <t>185-2018</t>
  </si>
  <si>
    <t xml:space="preserve">Prestar los servicios profesionales para apoyar a la Subdirección de Función Pública, en la gestión administrativa, financiera y presupuestal del proyecto de inversión a su cargo, así como en la proyección jurídica de los documentos necesarios para la gestión del mismo, y la articulación del proyecto con las bases del nuevo plan de desarrollo. </t>
  </si>
  <si>
    <t>Seis (6) pagos, así: a) cinco (5) mensualidades vencidas, cada una por valor de OCHO MILLONES TRESCIENTOS MIL PESOS ($8’300.000) M/CTE., incluido IVA y demás gastos asociados a la ejecución del contrato, previa presentación del informe de ejecución correspondiente y del certificado de cumplimiento y evaluación del contratista remitido por el supervisor; y, b) Un último pago el 21 de diciembre de 2018, por valor de CINCO MILLONES DOSCIENTOS CINCUENTA Y SEIS MIL SEISCIENTOS SESENTA Y SIETE PESOS  ($5.256.667) M/CTE.</t>
  </si>
  <si>
    <t>206-2018</t>
  </si>
  <si>
    <t>Prestar los servicios profesionales en la Subdirección, para apoyar la articulación de los mecanismos necesarios para la consolidación del modelo de gestión de Función Pública, así como en el seguimiento e implementación de los compromisos adquiridos por las direcciones técnicas en el marco de la elaboración de las bases del nuevo plan de desarrollo, en lo que corresponde a las competencias de la Entidad.</t>
  </si>
  <si>
    <t>Seis (6) pagos, así: a) Cinco mensualidades vencidas cada una por valor de NUEVE MILLONES DE PESOS ($9.000.000), b) un pago, con corte a diciembre 21 de 2018, por valor de DOS MILLONES CUATROCIENTOS MIL PESOS ($2´400.000) M/CTE</t>
  </si>
  <si>
    <t>197-2018</t>
  </si>
  <si>
    <t>CESAR AUGUSTO ARCINIEGAS BELTRAN</t>
  </si>
  <si>
    <t>Prestar los servicios profesionales en la Oficina Asesora de Comunicaciones, para apoyar el diseño y diagramación de los documentos y publicaciones técnicas, generadas como resultado del Foro Internacional El estado del Estado, en el marco de la Estrategia de Comunicaciones de Función Pública.</t>
  </si>
  <si>
    <t>Dos (2) mensualidades vencidas, cada una por valor de CUATRO MILLONES SETECIENTOS MIL PESOS ($4´700.000) M/CTE.</t>
  </si>
  <si>
    <t>211-2018</t>
  </si>
  <si>
    <t>Prestar los servicios profesionales en la Oficina de Tecnologías de Información y Comunicación, para apoyar las necesidades de arquitectura de software, desarrollo, integración, consolidación de información, inteligencia de negocios y mejoramiento del sistema de información estratégica de la Entidad.</t>
  </si>
  <si>
    <t>Seis (6) pagos, así: a) Cinco (5) mensualidades vencidas, cada una por valor de SIETE MILLONES QUINIENTOS MIL PESOS ($7’500.000,00) M/CTE., y un último pago por valor de DOS MILLONES SETECIENTOS CINCUENTA MIL PESOS ($2’750.000,00) M/CTE</t>
  </si>
  <si>
    <t>Prestar los servicios profesionales en la Función Pública, para apoyar en las actividades de liderazgo técnico, validación, seguimiento y control de la arquitectura tecnológica, requerimientos funcionales y no funcionales, interoperabilidad y la integralidad del funcionamiento de los productos que componen el sistema de información SIGEP II y otros sistemas de información misionales de la Entidad que le sean asignados.</t>
  </si>
  <si>
    <t>Prestar los servicios profesionales en la Función Pública, para apoyar en las actividades de validación de requerimientos funcionales y no funcionales, requerimientos de Gobierno Digital, interoperabilidad y la integralidad del funcionamiento de los productos que componen el sistema de información del SIGEP II</t>
  </si>
  <si>
    <t xml:space="preserve"> saldo para GASTOS DE PAPELERIA 2 SEMESTRE</t>
  </si>
  <si>
    <t>DIRECCIÓN DE PARTICIPACIÓN, TRANSPARENCIA Y SERVICIO AL CIUDADANO</t>
  </si>
  <si>
    <t>21 MESES</t>
  </si>
  <si>
    <t>13 MESES</t>
  </si>
  <si>
    <t xml:space="preserve">Prestar los servicios profesionales en la Oficina de Tecnologías de la Información y las Comunicaciones de Función Pública, para adelantar las fases precontractual, contractual y post-contractual, necesarios para los procesos de selección, Así como apoyar jurídicamente la implementación del proyecto SIGEP II.  </t>
  </si>
  <si>
    <t>Tres (3) pagos, asi: a) dos (2) mensualidades vencidas cada una por valor de TRES MILLONES OCHOCIENTOS NOVENTA Y CINCO MIL PESOS ($3’895.000) M/CTE, y b) Un último pago por valor de UN MILLON NOVECIENTOS CUARENTA Y SIETE MIL QUINIENTOS PESOS ($1,947,500,oo) M/CTE.</t>
  </si>
  <si>
    <t>007-2019</t>
  </si>
  <si>
    <t>262-2018</t>
  </si>
  <si>
    <t>JUAN DIEGO CRISTANCHO ROJAS</t>
  </si>
  <si>
    <t>Prestar los servicios profesionales en la Oficina de Tecnologías de Información y las Comunicaciónes, para apoyar juridicamente la implementacion del proyecto SIGEP II y apoyar los procesos de adquisición de bienes y servicios cuando sea requerido por el área</t>
  </si>
  <si>
    <t>Cuatro (4) pagos, así: a) Tres (3) mensualidades vencidas, cada una por valor de CUATRO MILLONES QUINIENTOS MIL PESOS ($4’500.000,00) M/CTE., y un último pago por valor de TRES MILLONES CIENTO CINCUENTA MIL PESOS ($3’150.000,00) M/CTE</t>
  </si>
  <si>
    <t>HECTOR JULIO JULIO MELO</t>
  </si>
  <si>
    <t>258-2018</t>
  </si>
  <si>
    <t>Prestar los servicios profesionales a función pública para apoyar la implementación del MIPG en los Planes de Asistencia Tecnicas (PAT) asignados en el marco de la tercera fase de la Estrategia de Gestión Territorial.</t>
  </si>
  <si>
    <t>Cuatro (4) pagos, así: a) Tres (3) mensualidades vencidas, cada una por valor de SEIS MILLONES DE PESOS ($6’000.000,00) M/CTE., y un último pago por valor de TRES MILLONES DE PESOS ($3,000.000,00) M/CTE</t>
  </si>
  <si>
    <t>Hasta el catorce (14) de diciembre de 2018, contado a partir del perfeccionamiento del mismo y registro presupuestal.</t>
  </si>
  <si>
    <t>ALEJANDRO BECKER</t>
  </si>
  <si>
    <t>DIRECCION DE DESARROLLO ORGANIZACIONAL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</si>
</sst>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4" formatCode="_(&quot;$&quot;\ * #,##0.00_);_(&quot;$&quot;\ * \(#,##0.00\);_(&quot;$&quot;\ * &quot;-&quot;??_);_(@_)"/>
    <numFmt numFmtId="43" formatCode="_(* #,##0.00_);_(* \(#,##0.00\);_(* &quot;-&quot;??_);_(@_)"/>
    <numFmt numFmtId="164" formatCode="_-* #,##0_-;\-* #,##0_-;_-* &quot;-&quot;_-;_-@_-"/>
    <numFmt numFmtId="165" formatCode="_-&quot;$&quot;\ * #,##0.00_-;\-&quot;$&quot;\ * #,##0.00_-;_-&quot;$&quot;\ * &quot;-&quot;??_-;_-@_-"/>
    <numFmt numFmtId="166" formatCode="&quot;$&quot;#,##0.00;[Red]\-&quot;$&quot;#,##0.00"/>
    <numFmt numFmtId="167" formatCode="_-&quot;$&quot;* #,##0_-;\-&quot;$&quot;* #,##0_-;_-&quot;$&quot;* &quot;-&quot;_-;_-@_-"/>
    <numFmt numFmtId="168" formatCode="_-&quot;$&quot;* #,##0.00_-;\-&quot;$&quot;* #,##0.00_-;_-&quot;$&quot;* &quot;-&quot;??_-;_-@_-"/>
    <numFmt numFmtId="169" formatCode="_ * #,##0.00_ ;_ * \-#,##0.00_ ;_ * &quot;-&quot;??_ ;_ @_ "/>
    <numFmt numFmtId="170" formatCode="_(&quot;$&quot;\ * #,##0_);_(&quot;$&quot;\ * \(#,##0\);_(&quot;$&quot;\ * &quot;-&quot;??_);_(@_)"/>
    <numFmt numFmtId="171" formatCode="_([$$-240A]\ * #,##0.00_);_([$$-240A]\ * \(#,##0.00\);_([$$-240A]\ * &quot;-&quot;??_);_(@_)"/>
    <numFmt numFmtId="172" formatCode="#,###\ &quot;MESES&quot;"/>
    <numFmt numFmtId="173" formatCode="&quot;$&quot;\ #,##0.00"/>
    <numFmt numFmtId="174" formatCode="_ &quot;$&quot;\ * #,##0.00_ ;_ &quot;$&quot;\ * \-#,##0.00_ ;_ &quot;$&quot;\ * &quot;-&quot;??_ ;_ @_ "/>
    <numFmt numFmtId="175" formatCode="_-&quot;$&quot;* #,##0.00_-;\-&quot;$&quot;* #,##0.00_-;_-&quot;$&quot;* &quot;-&quot;_-;_-@_-"/>
    <numFmt numFmtId="176" formatCode="#,##0.00_ ;\-#,##0.00\ "/>
    <numFmt numFmtId="177" formatCode="_-[$$-240A]* #,##0.00_-;\-[$$-240A]* #,##0.00_-;_-[$$-240A]* &quot;-&quot;??_-;_-@_-"/>
    <numFmt numFmtId="178" formatCode="[$-1240A]&quot;$&quot;\ #,##0.00;\(&quot;$&quot;\ #,##0.00\)"/>
    <numFmt numFmtId="179" formatCode="0.000%"/>
    <numFmt numFmtId="180" formatCode="#,###.0\ &quot;MESES&quot;"/>
    <numFmt numFmtId="181" formatCode="&quot;$&quot;\ #,##0"/>
    <numFmt numFmtId="182" formatCode="[$-1240A]&quot;$&quot;\ #,##0;\(&quot;$&quot;\ #,##0\)"/>
    <numFmt numFmtId="183" formatCode="#,###.00\ &quot;MESES&quot;"/>
  </numFmts>
  <fonts count="142" x14ac:knownFonts="1">
    <font>
      <sz val="11"/>
      <color theme="1"/>
      <name val="Calibri"/>
      <family val="2"/>
      <scheme val="minor"/>
    </font>
    <font>
      <sz val="16"/>
      <color theme="1"/>
      <name val="Calibri"/>
      <family val="2"/>
      <scheme val="minor"/>
    </font>
    <font>
      <sz val="14"/>
      <color theme="1"/>
      <name val="Calibri"/>
      <family val="2"/>
      <scheme val="minor"/>
    </font>
    <font>
      <sz val="11"/>
      <name val="Arial"/>
      <family val="2"/>
    </font>
    <font>
      <sz val="10"/>
      <name val="Arial"/>
      <family val="2"/>
    </font>
    <font>
      <sz val="20"/>
      <color indexed="8"/>
      <name val="Calibri"/>
      <family val="2"/>
    </font>
    <font>
      <sz val="11"/>
      <name val="Calibri"/>
      <family val="2"/>
    </font>
    <font>
      <b/>
      <sz val="11"/>
      <name val="Calibri"/>
      <family val="2"/>
    </font>
    <font>
      <sz val="9"/>
      <name val="Arial"/>
      <family val="2"/>
    </font>
    <font>
      <sz val="14"/>
      <name val="Arial"/>
      <family val="2"/>
    </font>
    <font>
      <b/>
      <sz val="11"/>
      <name val="Arial"/>
      <family val="2"/>
    </font>
    <font>
      <sz val="8"/>
      <name val="Arial"/>
      <family val="2"/>
    </font>
    <font>
      <b/>
      <sz val="20"/>
      <name val="Arial"/>
      <family val="2"/>
    </font>
    <font>
      <b/>
      <sz val="9"/>
      <name val="Times New Roman"/>
      <family val="1"/>
    </font>
    <font>
      <b/>
      <sz val="16"/>
      <name val="Calibri"/>
      <family val="2"/>
    </font>
    <font>
      <sz val="9"/>
      <name val="Calibri"/>
      <family val="2"/>
    </font>
    <font>
      <b/>
      <sz val="16"/>
      <name val="Arial"/>
      <family val="2"/>
    </font>
    <font>
      <sz val="18"/>
      <name val="Calibri"/>
      <family val="2"/>
    </font>
    <font>
      <sz val="20"/>
      <name val="Calibri"/>
      <family val="2"/>
    </font>
    <font>
      <b/>
      <sz val="18"/>
      <name val="Arial"/>
      <family val="2"/>
    </font>
    <font>
      <sz val="16"/>
      <name val="Arial"/>
      <family val="2"/>
    </font>
    <font>
      <sz val="18"/>
      <name val="Arial"/>
      <family val="2"/>
    </font>
    <font>
      <sz val="22"/>
      <name val="Calibri"/>
      <family val="2"/>
    </font>
    <font>
      <b/>
      <sz val="12"/>
      <name val="Arial"/>
      <family val="2"/>
    </font>
    <font>
      <sz val="22"/>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sz val="9"/>
      <color theme="0"/>
      <name val="Calibri"/>
      <family val="2"/>
    </font>
    <font>
      <b/>
      <sz val="11"/>
      <color theme="0"/>
      <name val="Arial"/>
      <family val="2"/>
    </font>
    <font>
      <sz val="11"/>
      <color theme="0"/>
      <name val="Arial"/>
      <family val="2"/>
    </font>
    <font>
      <sz val="18"/>
      <color theme="0"/>
      <name val="Arial"/>
      <family val="2"/>
    </font>
    <font>
      <b/>
      <sz val="11"/>
      <color theme="1"/>
      <name val="Arial"/>
      <family val="2"/>
    </font>
    <font>
      <sz val="14"/>
      <color theme="1"/>
      <name val="Calibri"/>
      <family val="2"/>
      <scheme val="minor"/>
    </font>
    <font>
      <sz val="16"/>
      <color theme="0"/>
      <name val="Arial"/>
      <family val="2"/>
    </font>
    <font>
      <b/>
      <sz val="16"/>
      <color theme="0"/>
      <name val="Arial"/>
      <family val="2"/>
    </font>
    <font>
      <sz val="16"/>
      <color theme="1"/>
      <name val="Arial"/>
      <family val="2"/>
    </font>
    <font>
      <sz val="16"/>
      <color rgb="FFFF0000"/>
      <name val="Arial"/>
      <family val="2"/>
    </font>
    <font>
      <b/>
      <sz val="9"/>
      <color theme="0"/>
      <name val="Times New Roman"/>
      <family val="1"/>
    </font>
    <font>
      <b/>
      <sz val="11"/>
      <color theme="0"/>
      <name val="Times New Roman"/>
      <family val="1"/>
    </font>
    <font>
      <b/>
      <sz val="8"/>
      <color theme="0"/>
      <name val="Arial"/>
      <family val="2"/>
    </font>
    <font>
      <b/>
      <sz val="16"/>
      <color rgb="FFFF0000"/>
      <name val="Calibri"/>
      <family val="2"/>
    </font>
    <font>
      <sz val="18"/>
      <color rgb="FFFF0000"/>
      <name val="Arial"/>
      <family val="2"/>
    </font>
    <font>
      <b/>
      <sz val="14"/>
      <color rgb="FFFF0000"/>
      <name val="Calibri"/>
      <family val="2"/>
      <scheme val="minor"/>
    </font>
    <font>
      <b/>
      <sz val="16"/>
      <color rgb="FF002060"/>
      <name val="Arial Narrow"/>
      <family val="2"/>
    </font>
    <font>
      <b/>
      <sz val="20"/>
      <color theme="1"/>
      <name val="Arial"/>
      <family val="2"/>
    </font>
    <font>
      <b/>
      <sz val="16"/>
      <color theme="1"/>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b/>
      <sz val="20"/>
      <color rgb="FFFF0000"/>
      <name val="Calibri"/>
      <family val="2"/>
      <scheme val="minor"/>
    </font>
    <font>
      <sz val="20"/>
      <color theme="1"/>
      <name val="Calibri"/>
      <family val="2"/>
      <scheme val="minor"/>
    </font>
    <font>
      <b/>
      <sz val="14"/>
      <color theme="0"/>
      <name val="Arial"/>
      <family val="2"/>
    </font>
    <font>
      <sz val="16"/>
      <name val="Calibri"/>
      <family val="2"/>
      <scheme val="minor"/>
    </font>
    <font>
      <sz val="26"/>
      <color theme="1"/>
      <name val="Calibri"/>
      <family val="2"/>
      <scheme val="minor"/>
    </font>
    <font>
      <b/>
      <sz val="20"/>
      <color theme="1"/>
      <name val="Calibri"/>
      <family val="2"/>
      <scheme val="minor"/>
    </font>
    <font>
      <sz val="26"/>
      <name val="Calibri"/>
      <family val="2"/>
      <scheme val="minor"/>
    </font>
    <font>
      <sz val="20"/>
      <color theme="5" tint="-0.499984740745262"/>
      <name val="Calibri"/>
      <family val="2"/>
      <scheme val="minor"/>
    </font>
    <font>
      <b/>
      <sz val="16"/>
      <color theme="5" tint="-0.499984740745262"/>
      <name val="Calibri"/>
      <family val="2"/>
      <scheme val="minor"/>
    </font>
    <font>
      <sz val="20"/>
      <color theme="1"/>
      <name val="Arial"/>
      <family val="2"/>
    </font>
    <font>
      <b/>
      <sz val="11"/>
      <color theme="0"/>
      <name val="Calibri"/>
      <family val="2"/>
      <scheme val="minor"/>
    </font>
    <font>
      <sz val="14"/>
      <name val="Calibri"/>
      <family val="2"/>
    </font>
    <font>
      <b/>
      <sz val="12"/>
      <color rgb="FFFF0000"/>
      <name val="Calibri"/>
      <family val="2"/>
    </font>
    <font>
      <b/>
      <sz val="11"/>
      <color theme="0"/>
      <name val="Calibri"/>
      <family val="2"/>
    </font>
    <font>
      <b/>
      <sz val="11"/>
      <color rgb="FF002060"/>
      <name val="Arial"/>
      <family val="2"/>
    </font>
    <font>
      <b/>
      <sz val="11"/>
      <color rgb="FF002060"/>
      <name val="Calibri"/>
      <family val="2"/>
    </font>
    <font>
      <sz val="11"/>
      <color theme="0"/>
      <name val="Calibri"/>
      <family val="2"/>
    </font>
    <font>
      <b/>
      <sz val="16"/>
      <color theme="0"/>
      <name val="Calibri"/>
      <family val="2"/>
      <scheme val="minor"/>
    </font>
    <font>
      <b/>
      <sz val="18"/>
      <name val="Calibri"/>
      <family val="2"/>
    </font>
    <font>
      <b/>
      <sz val="20"/>
      <color theme="0"/>
      <name val="Calibri"/>
      <family val="2"/>
    </font>
    <font>
      <b/>
      <sz val="11"/>
      <color rgb="FFFF0000"/>
      <name val="Calibri"/>
      <family val="2"/>
    </font>
    <font>
      <b/>
      <sz val="18"/>
      <color theme="0"/>
      <name val="Calibri"/>
      <family val="2"/>
    </font>
    <font>
      <b/>
      <sz val="16"/>
      <color theme="0"/>
      <name val="Calibri"/>
      <family val="2"/>
    </font>
    <font>
      <b/>
      <sz val="14"/>
      <name val="Calibri"/>
      <family val="2"/>
      <scheme val="minor"/>
    </font>
    <font>
      <b/>
      <sz val="14"/>
      <color theme="5" tint="-0.499984740745262"/>
      <name val="Arial"/>
      <family val="2"/>
    </font>
    <font>
      <sz val="16"/>
      <name val="Calibri"/>
      <family val="2"/>
    </font>
    <font>
      <sz val="20"/>
      <color theme="1"/>
      <name val="Calibri"/>
      <family val="2"/>
    </font>
    <font>
      <sz val="16"/>
      <color rgb="FF000000"/>
      <name val="Times New Roman"/>
      <family val="1"/>
    </font>
    <font>
      <sz val="14"/>
      <color theme="0"/>
      <name val="Arial"/>
      <family val="2"/>
    </font>
    <font>
      <b/>
      <sz val="9"/>
      <name val="Arial"/>
      <family val="2"/>
    </font>
    <font>
      <b/>
      <sz val="9"/>
      <color theme="0"/>
      <name val="Arial"/>
      <family val="2"/>
    </font>
    <font>
      <sz val="18"/>
      <color theme="0"/>
      <name val="Calibri"/>
      <family val="2"/>
    </font>
    <font>
      <b/>
      <sz val="14"/>
      <name val="Arial"/>
      <family val="2"/>
    </font>
    <font>
      <sz val="18"/>
      <name val="Calibri"/>
      <family val="2"/>
      <scheme val="minor"/>
    </font>
    <font>
      <sz val="14"/>
      <color theme="0"/>
      <name val="Calibri"/>
      <family val="2"/>
    </font>
    <font>
      <b/>
      <sz val="18"/>
      <color rgb="FFC00000"/>
      <name val="Arial"/>
      <family val="2"/>
    </font>
    <font>
      <sz val="18"/>
      <color theme="1"/>
      <name val="Arial"/>
      <family val="2"/>
    </font>
    <font>
      <sz val="18"/>
      <color theme="1"/>
      <name val="Calibri"/>
      <family val="2"/>
    </font>
    <font>
      <sz val="20"/>
      <color rgb="FF1F4E79"/>
      <name val="Calibri"/>
      <family val="2"/>
      <scheme val="minor"/>
    </font>
    <font>
      <sz val="18"/>
      <color rgb="FF000000"/>
      <name val="Times New Roman"/>
      <family val="1"/>
    </font>
    <font>
      <sz val="20"/>
      <name val="Arial Narrow"/>
      <family val="2"/>
    </font>
    <font>
      <sz val="18"/>
      <color theme="0"/>
      <name val="Times New Roman"/>
      <family val="1"/>
    </font>
    <font>
      <b/>
      <sz val="20"/>
      <name val="Arial Narrow"/>
      <family val="2"/>
    </font>
    <font>
      <b/>
      <sz val="20"/>
      <color rgb="FFFF0000"/>
      <name val="Calibri"/>
      <family val="2"/>
    </font>
    <font>
      <b/>
      <sz val="9"/>
      <name val="Calibri"/>
      <family val="2"/>
    </font>
    <font>
      <b/>
      <sz val="14"/>
      <name val="Calibri"/>
      <family val="2"/>
    </font>
    <font>
      <b/>
      <sz val="20"/>
      <name val="Calibri"/>
      <family val="2"/>
    </font>
    <font>
      <sz val="20"/>
      <color theme="0"/>
      <name val="Calibri"/>
      <family val="2"/>
    </font>
    <font>
      <b/>
      <sz val="8"/>
      <name val="Arial"/>
      <family val="2"/>
    </font>
    <font>
      <sz val="12"/>
      <name val="Calibri"/>
      <family val="2"/>
    </font>
    <font>
      <b/>
      <sz val="10"/>
      <name val="Arial"/>
      <family val="2"/>
    </font>
    <font>
      <sz val="8"/>
      <name val="Calibri"/>
      <family val="2"/>
    </font>
    <font>
      <sz val="8"/>
      <name val="Times New Roman"/>
      <family val="1"/>
    </font>
    <font>
      <b/>
      <sz val="8"/>
      <name val="Calibri"/>
      <family val="2"/>
    </font>
    <font>
      <b/>
      <sz val="22"/>
      <name val="Calibri"/>
      <family val="2"/>
    </font>
    <font>
      <b/>
      <sz val="11"/>
      <name val="Calibri"/>
      <family val="2"/>
      <scheme val="minor"/>
    </font>
    <font>
      <b/>
      <sz val="16"/>
      <name val="Calibri"/>
      <family val="2"/>
      <scheme val="minor"/>
    </font>
    <font>
      <b/>
      <sz val="18"/>
      <color rgb="FF002060"/>
      <name val="Arial"/>
      <family val="2"/>
    </font>
    <font>
      <sz val="18"/>
      <color rgb="FF002060"/>
      <name val="Arial"/>
      <family val="2"/>
    </font>
    <font>
      <b/>
      <sz val="18"/>
      <name val="Arial Narrow"/>
      <family val="2"/>
    </font>
    <font>
      <b/>
      <sz val="36"/>
      <name val="Arial"/>
      <family val="2"/>
    </font>
    <font>
      <b/>
      <sz val="26"/>
      <name val="Arial"/>
      <family val="2"/>
    </font>
    <font>
      <b/>
      <sz val="28"/>
      <color rgb="FFFF0000"/>
      <name val="Calibri"/>
      <family val="2"/>
      <scheme val="minor"/>
    </font>
    <font>
      <b/>
      <sz val="28"/>
      <name val="Arial Narrow"/>
      <family val="2"/>
    </font>
    <font>
      <sz val="16"/>
      <color rgb="FFC00000"/>
      <name val="Arial"/>
      <family val="2"/>
    </font>
    <font>
      <sz val="12"/>
      <name val="Calibri"/>
      <family val="2"/>
      <scheme val="minor"/>
    </font>
    <font>
      <sz val="10"/>
      <color theme="1"/>
      <name val="Arial"/>
      <family val="2"/>
    </font>
    <font>
      <b/>
      <sz val="12"/>
      <color theme="0"/>
      <name val="Times New Roman"/>
      <family val="1"/>
    </font>
    <font>
      <sz val="20"/>
      <name val="Calibri"/>
      <family val="2"/>
      <scheme val="minor"/>
    </font>
    <font>
      <b/>
      <sz val="22"/>
      <color theme="1"/>
      <name val="Calibri"/>
      <family val="2"/>
      <scheme val="minor"/>
    </font>
    <font>
      <sz val="14"/>
      <color rgb="FFFF0000"/>
      <name val="Arial"/>
      <family val="2"/>
    </font>
    <font>
      <b/>
      <sz val="14"/>
      <color rgb="FFFF0000"/>
      <name val="Arial"/>
      <family val="2"/>
    </font>
    <font>
      <b/>
      <strike/>
      <sz val="36"/>
      <name val="Arial"/>
      <family val="2"/>
    </font>
    <font>
      <b/>
      <strike/>
      <sz val="18"/>
      <name val="Arial"/>
      <family val="2"/>
    </font>
    <font>
      <b/>
      <strike/>
      <sz val="26"/>
      <name val="Arial"/>
      <family val="2"/>
    </font>
    <font>
      <b/>
      <sz val="11"/>
      <color rgb="FFFF0000"/>
      <name val="Calibri"/>
      <family val="2"/>
      <scheme val="minor"/>
    </font>
    <font>
      <b/>
      <sz val="36"/>
      <color theme="1"/>
      <name val="Calibri"/>
      <family val="2"/>
      <scheme val="minor"/>
    </font>
    <font>
      <b/>
      <sz val="12"/>
      <color theme="1"/>
      <name val="Calibri"/>
      <family val="2"/>
      <scheme val="minor"/>
    </font>
    <font>
      <b/>
      <sz val="22"/>
      <color theme="5" tint="-0.499984740745262"/>
      <name val="Calibri"/>
      <family val="2"/>
      <scheme val="minor"/>
    </font>
    <font>
      <b/>
      <sz val="15"/>
      <name val="Arial"/>
      <family val="2"/>
    </font>
    <font>
      <sz val="15"/>
      <color theme="1"/>
      <name val="Arial"/>
      <family val="2"/>
    </font>
    <font>
      <b/>
      <sz val="24"/>
      <color rgb="FFC00000"/>
      <name val="Arial"/>
      <family val="2"/>
    </font>
    <font>
      <b/>
      <sz val="14"/>
      <color theme="1"/>
      <name val="Calibri"/>
      <family val="2"/>
      <scheme val="minor"/>
    </font>
    <font>
      <sz val="24"/>
      <color theme="1"/>
      <name val="Calibri"/>
      <family val="2"/>
      <scheme val="minor"/>
    </font>
  </fonts>
  <fills count="33">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B050"/>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2" tint="-0.749992370372631"/>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0070C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9"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bottom style="thin">
        <color rgb="FFD3D3D3"/>
      </bottom>
      <diagonal/>
    </border>
    <border>
      <left/>
      <right style="thin">
        <color rgb="FFD3D3D3"/>
      </right>
      <top/>
      <bottom style="thin">
        <color rgb="FFD3D3D3"/>
      </bottom>
      <diagonal/>
    </border>
    <border>
      <left/>
      <right style="thin">
        <color rgb="FFD3D3D3"/>
      </right>
      <top/>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right style="thin">
        <color rgb="FFD3D3D3"/>
      </right>
      <top style="thin">
        <color rgb="FFD3D3D3"/>
      </top>
      <bottom/>
      <diagonal/>
    </border>
    <border>
      <left/>
      <right/>
      <top style="thin">
        <color rgb="FFD3D3D3"/>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s>
  <cellStyleXfs count="19">
    <xf numFmtId="0" fontId="0" fillId="0" borderId="0"/>
    <xf numFmtId="0" fontId="26" fillId="2" borderId="0" applyNumberFormat="0" applyBorder="0" applyAlignment="0" applyProtection="0"/>
    <xf numFmtId="0" fontId="27" fillId="0" borderId="0" applyNumberFormat="0" applyFill="0" applyBorder="0" applyAlignment="0" applyProtection="0"/>
    <xf numFmtId="164" fontId="25" fillId="0" borderId="0" applyFont="0" applyFill="0" applyBorder="0" applyAlignment="0" applyProtection="0"/>
    <xf numFmtId="43" fontId="28" fillId="0" borderId="0" applyFont="0" applyFill="0" applyBorder="0" applyAlignment="0" applyProtection="0"/>
    <xf numFmtId="169" fontId="4" fillId="0" borderId="0" applyFont="0" applyFill="0" applyBorder="0" applyAlignment="0" applyProtection="0"/>
    <xf numFmtId="43" fontId="25" fillId="0" borderId="0" applyFont="0" applyFill="0" applyBorder="0" applyAlignment="0" applyProtection="0"/>
    <xf numFmtId="167" fontId="25" fillId="0" borderId="0" applyFont="0" applyFill="0" applyBorder="0" applyAlignment="0" applyProtection="0"/>
    <xf numFmtId="167" fontId="28" fillId="0" borderId="0" applyFont="0" applyFill="0" applyBorder="0" applyAlignment="0" applyProtection="0"/>
    <xf numFmtId="167" fontId="25" fillId="0" borderId="0" applyFont="0" applyFill="0" applyBorder="0" applyAlignment="0" applyProtection="0"/>
    <xf numFmtId="174" fontId="4" fillId="0" borderId="0" applyFont="0" applyFill="0" applyBorder="0" applyAlignment="0" applyProtection="0"/>
    <xf numFmtId="44" fontId="25" fillId="0" borderId="0" applyFont="0" applyFill="0" applyBorder="0" applyAlignment="0" applyProtection="0"/>
    <xf numFmtId="168" fontId="28" fillId="0" borderId="0" applyFont="0" applyFill="0" applyBorder="0" applyAlignment="0" applyProtection="0"/>
    <xf numFmtId="44" fontId="28" fillId="0" borderId="0" applyFont="0" applyFill="0" applyBorder="0" applyAlignment="0" applyProtection="0"/>
    <xf numFmtId="0" fontId="28" fillId="0" borderId="0"/>
    <xf numFmtId="0" fontId="4" fillId="0" borderId="0"/>
    <xf numFmtId="0" fontId="4" fillId="0" borderId="0"/>
    <xf numFmtId="9" fontId="25" fillId="0" borderId="0" applyFont="0" applyFill="0" applyBorder="0" applyAlignment="0" applyProtection="0"/>
    <xf numFmtId="44" fontId="25" fillId="0" borderId="0" applyFont="0" applyFill="0" applyBorder="0" applyAlignment="0" applyProtection="0"/>
  </cellStyleXfs>
  <cellXfs count="920">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31" fillId="0" borderId="0" xfId="0" applyFont="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6" fillId="0" borderId="0" xfId="14" applyFont="1" applyFill="1" applyBorder="1"/>
    <xf numFmtId="0" fontId="0" fillId="0" borderId="0" xfId="0" quotePrefix="1" applyFont="1" applyBorder="1" applyAlignment="1">
      <alignment horizontal="center" vertical="center" wrapText="1"/>
    </xf>
    <xf numFmtId="0" fontId="27" fillId="0" borderId="0" xfId="2" quotePrefix="1" applyFont="1" applyBorder="1" applyAlignment="1">
      <alignment horizontal="center" vertical="center" wrapText="1"/>
    </xf>
    <xf numFmtId="170" fontId="0" fillId="0" borderId="0" xfId="0" applyNumberFormat="1" applyFont="1" applyFill="1" applyBorder="1" applyAlignment="1">
      <alignment horizontal="center" vertical="center" wrapText="1"/>
    </xf>
    <xf numFmtId="173" fontId="0" fillId="0" borderId="0" xfId="0" applyNumberFormat="1" applyFont="1" applyFill="1" applyBorder="1" applyAlignment="1">
      <alignment horizontal="center" vertical="center" wrapText="1"/>
    </xf>
    <xf numFmtId="173" fontId="0" fillId="0" borderId="0" xfId="0" applyNumberFormat="1" applyFont="1"/>
    <xf numFmtId="173" fontId="0" fillId="0" borderId="0" xfId="0" applyNumberFormat="1" applyFont="1" applyAlignment="1">
      <alignment horizontal="center" vertical="center" wrapText="1"/>
    </xf>
    <xf numFmtId="0" fontId="33" fillId="0" borderId="0" xfId="0" applyFont="1" applyBorder="1" applyAlignment="1">
      <alignment vertical="center" wrapText="1"/>
    </xf>
    <xf numFmtId="0" fontId="0" fillId="0" borderId="3" xfId="0" applyFont="1" applyBorder="1"/>
    <xf numFmtId="0" fontId="33" fillId="0" borderId="0" xfId="0" applyFont="1" applyBorder="1" applyAlignment="1">
      <alignment horizontal="left" vertical="center" wrapText="1"/>
    </xf>
    <xf numFmtId="14" fontId="33" fillId="0" borderId="0" xfId="0" applyNumberFormat="1" applyFont="1" applyBorder="1" applyAlignment="1">
      <alignment horizontal="center" vertical="center" wrapText="1"/>
    </xf>
    <xf numFmtId="0" fontId="34" fillId="0" borderId="0" xfId="0" applyFont="1" applyBorder="1" applyAlignment="1">
      <alignment horizontal="left" vertical="center" wrapText="1"/>
    </xf>
    <xf numFmtId="0" fontId="6" fillId="0" borderId="0" xfId="14" applyFont="1" applyFill="1" applyBorder="1" applyAlignment="1"/>
    <xf numFmtId="0" fontId="13" fillId="0" borderId="0" xfId="14" applyNumberFormat="1" applyFont="1" applyFill="1" applyBorder="1" applyAlignment="1">
      <alignment horizontal="center" vertical="center" wrapText="1" readingOrder="1"/>
    </xf>
    <xf numFmtId="0" fontId="11" fillId="0" borderId="1" xfId="14" applyNumberFormat="1" applyFont="1" applyFill="1" applyBorder="1" applyAlignment="1">
      <alignment horizontal="center" vertical="center" wrapText="1" readingOrder="1"/>
    </xf>
    <xf numFmtId="0" fontId="8" fillId="3" borderId="1" xfId="14" applyNumberFormat="1" applyFont="1" applyFill="1" applyBorder="1" applyAlignment="1">
      <alignment vertical="center" wrapText="1" readingOrder="1"/>
    </xf>
    <xf numFmtId="0" fontId="8" fillId="6" borderId="1" xfId="14" applyNumberFormat="1" applyFont="1" applyFill="1" applyBorder="1" applyAlignment="1">
      <alignment horizontal="center" vertical="center" wrapText="1" readingOrder="1"/>
    </xf>
    <xf numFmtId="0" fontId="8" fillId="6" borderId="21" xfId="14" applyNumberFormat="1" applyFont="1" applyFill="1" applyBorder="1" applyAlignment="1">
      <alignment horizontal="center" vertical="center" wrapText="1" readingOrder="1"/>
    </xf>
    <xf numFmtId="0" fontId="15" fillId="0" borderId="0" xfId="14" applyFont="1" applyFill="1" applyBorder="1"/>
    <xf numFmtId="0" fontId="15" fillId="6" borderId="0" xfId="14" applyFont="1" applyFill="1" applyBorder="1"/>
    <xf numFmtId="0" fontId="8" fillId="7" borderId="21" xfId="14" applyNumberFormat="1" applyFont="1" applyFill="1" applyBorder="1" applyAlignment="1">
      <alignment horizontal="center" vertical="center" wrapText="1" readingOrder="1"/>
    </xf>
    <xf numFmtId="0" fontId="35" fillId="5" borderId="21" xfId="14" applyNumberFormat="1" applyFont="1" applyFill="1" applyBorder="1" applyAlignment="1">
      <alignment horizontal="center" vertical="center" wrapText="1" readingOrder="1"/>
    </xf>
    <xf numFmtId="0" fontId="35" fillId="5" borderId="1" xfId="14" applyNumberFormat="1" applyFont="1" applyFill="1" applyBorder="1" applyAlignment="1">
      <alignment horizontal="center" vertical="center" wrapText="1" readingOrder="1"/>
    </xf>
    <xf numFmtId="0" fontId="35" fillId="5" borderId="1" xfId="14" applyNumberFormat="1" applyFont="1" applyFill="1" applyBorder="1" applyAlignment="1">
      <alignment vertical="center" wrapText="1" readingOrder="1"/>
    </xf>
    <xf numFmtId="0" fontId="36" fillId="5" borderId="0" xfId="14" applyFont="1" applyFill="1" applyBorder="1"/>
    <xf numFmtId="0" fontId="38" fillId="5" borderId="1" xfId="14" applyNumberFormat="1" applyFont="1" applyFill="1" applyBorder="1" applyAlignment="1">
      <alignment horizontal="left" vertical="center" wrapText="1" readingOrder="1"/>
    </xf>
    <xf numFmtId="0" fontId="10" fillId="3" borderId="1" xfId="14" applyNumberFormat="1" applyFont="1" applyFill="1" applyBorder="1" applyAlignment="1">
      <alignment horizontal="left" vertical="center" wrapText="1" readingOrder="1"/>
    </xf>
    <xf numFmtId="0" fontId="10" fillId="8" borderId="6" xfId="14" applyNumberFormat="1" applyFont="1" applyFill="1" applyBorder="1" applyAlignment="1">
      <alignment horizontal="center" vertical="center" wrapText="1" readingOrder="1"/>
    </xf>
    <xf numFmtId="0" fontId="8" fillId="3" borderId="1" xfId="14" applyNumberFormat="1" applyFont="1" applyFill="1" applyBorder="1" applyAlignment="1">
      <alignment horizontal="center" vertical="center" wrapText="1" readingOrder="1"/>
    </xf>
    <xf numFmtId="39" fontId="39" fillId="5" borderId="1" xfId="14" applyNumberFormat="1" applyFont="1" applyFill="1" applyBorder="1" applyAlignment="1">
      <alignment horizontal="right" vertical="center" wrapText="1" readingOrder="1"/>
    </xf>
    <xf numFmtId="0" fontId="30"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40" fillId="3" borderId="1" xfId="14" applyNumberFormat="1" applyFont="1" applyFill="1" applyBorder="1" applyAlignment="1">
      <alignment horizontal="left" vertical="center" wrapText="1" readingOrder="1"/>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39" fontId="20" fillId="3" borderId="1" xfId="14" applyNumberFormat="1" applyFont="1" applyFill="1" applyBorder="1" applyAlignment="1">
      <alignment horizontal="right" vertical="center" wrapText="1" readingOrder="1"/>
    </xf>
    <xf numFmtId="39" fontId="20" fillId="3" borderId="1" xfId="14" applyNumberFormat="1" applyFont="1" applyFill="1" applyBorder="1" applyAlignment="1">
      <alignment vertical="center" wrapText="1" readingOrder="1"/>
    </xf>
    <xf numFmtId="39" fontId="44" fillId="3" borderId="1" xfId="14" applyNumberFormat="1" applyFont="1" applyFill="1" applyBorder="1" applyAlignment="1">
      <alignment horizontal="right" vertical="center" wrapText="1" readingOrder="1"/>
    </xf>
    <xf numFmtId="39" fontId="45" fillId="3" borderId="1" xfId="14" applyNumberFormat="1" applyFont="1" applyFill="1" applyBorder="1" applyAlignment="1">
      <alignment horizontal="right" vertical="center" wrapText="1" readingOrder="1"/>
    </xf>
    <xf numFmtId="39" fontId="42" fillId="10" borderId="1" xfId="14" applyNumberFormat="1" applyFont="1" applyFill="1" applyBorder="1" applyAlignment="1">
      <alignment horizontal="right" vertical="center" wrapText="1" readingOrder="1"/>
    </xf>
    <xf numFmtId="0" fontId="20" fillId="3" borderId="1" xfId="14" applyNumberFormat="1" applyFont="1" applyFill="1" applyBorder="1" applyAlignment="1">
      <alignment vertical="center" wrapText="1" readingOrder="1"/>
    </xf>
    <xf numFmtId="44" fontId="0" fillId="0" borderId="0" xfId="0" applyNumberFormat="1" applyFont="1"/>
    <xf numFmtId="175" fontId="18" fillId="3" borderId="1" xfId="7" applyNumberFormat="1" applyFont="1" applyFill="1" applyBorder="1" applyAlignment="1">
      <alignment horizontal="center" vertical="center"/>
    </xf>
    <xf numFmtId="0" fontId="41" fillId="3" borderId="0" xfId="0" applyFont="1" applyFill="1" applyBorder="1" applyAlignment="1">
      <alignment horizontal="center" vertical="center" wrapText="1"/>
    </xf>
    <xf numFmtId="0" fontId="31" fillId="0" borderId="0" xfId="0" applyFont="1" applyAlignment="1">
      <alignment horizontal="center" vertical="center"/>
    </xf>
    <xf numFmtId="173" fontId="31" fillId="0" borderId="0" xfId="0" applyNumberFormat="1" applyFont="1" applyAlignment="1">
      <alignment horizontal="center" vertical="center"/>
    </xf>
    <xf numFmtId="0" fontId="10" fillId="0" borderId="1" xfId="14" applyNumberFormat="1" applyFont="1" applyFill="1" applyBorder="1" applyAlignment="1">
      <alignment horizontal="left" vertical="center" wrapText="1" readingOrder="1"/>
    </xf>
    <xf numFmtId="0" fontId="46" fillId="12" borderId="0" xfId="14" applyNumberFormat="1" applyFont="1" applyFill="1" applyBorder="1" applyAlignment="1">
      <alignment horizontal="center" vertical="center" wrapText="1" readingOrder="1"/>
    </xf>
    <xf numFmtId="0" fontId="47" fillId="12" borderId="12" xfId="14" applyNumberFormat="1" applyFont="1" applyFill="1" applyBorder="1" applyAlignment="1">
      <alignment horizontal="center" vertical="center" wrapText="1" readingOrder="1"/>
    </xf>
    <xf numFmtId="0" fontId="37" fillId="12" borderId="6" xfId="14" applyNumberFormat="1" applyFont="1" applyFill="1" applyBorder="1" applyAlignment="1">
      <alignment horizontal="center" vertical="center" wrapText="1" readingOrder="1"/>
    </xf>
    <xf numFmtId="39" fontId="49" fillId="0" borderId="0" xfId="14" applyNumberFormat="1" applyFont="1" applyFill="1" applyBorder="1" applyAlignment="1"/>
    <xf numFmtId="0" fontId="48" fillId="12" borderId="6"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39" fontId="21" fillId="3" borderId="1" xfId="14" applyNumberFormat="1" applyFont="1" applyFill="1" applyBorder="1" applyAlignment="1">
      <alignment horizontal="right" vertical="center" wrapText="1" readingOrder="1"/>
    </xf>
    <xf numFmtId="0" fontId="21" fillId="3" borderId="1" xfId="14" applyNumberFormat="1" applyFont="1" applyFill="1" applyBorder="1" applyAlignment="1">
      <alignment vertical="center" wrapText="1" readingOrder="1"/>
    </xf>
    <xf numFmtId="39" fontId="21" fillId="3" borderId="1" xfId="14" applyNumberFormat="1" applyFont="1" applyFill="1" applyBorder="1" applyAlignment="1">
      <alignment horizontal="center" vertical="center" wrapText="1" readingOrder="1"/>
    </xf>
    <xf numFmtId="39" fontId="21" fillId="3" borderId="1" xfId="14" applyNumberFormat="1" applyFont="1" applyFill="1" applyBorder="1" applyAlignment="1">
      <alignment vertical="center" wrapText="1" readingOrder="1"/>
    </xf>
    <xf numFmtId="39" fontId="20" fillId="3" borderId="1" xfId="14" applyNumberFormat="1" applyFont="1" applyFill="1" applyBorder="1" applyAlignment="1">
      <alignment horizontal="right" vertical="center" readingOrder="1"/>
    </xf>
    <xf numFmtId="39" fontId="45" fillId="3" borderId="1" xfId="14" applyNumberFormat="1" applyFont="1" applyFill="1" applyBorder="1" applyAlignment="1">
      <alignment vertical="center" wrapText="1" readingOrder="1"/>
    </xf>
    <xf numFmtId="0" fontId="10" fillId="8" borderId="14" xfId="14" applyNumberFormat="1" applyFont="1" applyFill="1" applyBorder="1" applyAlignment="1">
      <alignment horizontal="center" vertical="center" wrapText="1" readingOrder="1"/>
    </xf>
    <xf numFmtId="39" fontId="50" fillId="3" borderId="1" xfId="14" applyNumberFormat="1" applyFont="1" applyFill="1" applyBorder="1" applyAlignment="1">
      <alignment horizontal="right" vertical="center" wrapText="1" readingOrder="1"/>
    </xf>
    <xf numFmtId="167" fontId="22" fillId="4" borderId="0" xfId="7" applyFont="1" applyFill="1" applyBorder="1" applyAlignment="1"/>
    <xf numFmtId="164" fontId="25" fillId="0" borderId="0" xfId="3" applyFont="1" applyBorder="1" applyAlignment="1">
      <alignment horizontal="right" vertical="center" wrapText="1"/>
    </xf>
    <xf numFmtId="164" fontId="25" fillId="0" borderId="0" xfId="3" applyFont="1" applyFill="1" applyAlignment="1">
      <alignment horizontal="right" vertical="center" wrapText="1"/>
    </xf>
    <xf numFmtId="164" fontId="25" fillId="0" borderId="0" xfId="3" applyFont="1" applyFill="1" applyBorder="1" applyAlignment="1">
      <alignment horizontal="right" vertical="center" wrapText="1"/>
    </xf>
    <xf numFmtId="44" fontId="51" fillId="3" borderId="0" xfId="11" applyFont="1" applyFill="1" applyAlignment="1">
      <alignment horizontal="right" vertical="center" wrapText="1"/>
    </xf>
    <xf numFmtId="0" fontId="0" fillId="0" borderId="0" xfId="0" applyFont="1" applyFill="1" applyBorder="1" applyAlignment="1">
      <alignment horizontal="center" vertical="center" wrapText="1"/>
    </xf>
    <xf numFmtId="175" fontId="17" fillId="3" borderId="1" xfId="7" applyNumberFormat="1" applyFont="1" applyFill="1" applyBorder="1" applyAlignment="1">
      <alignment horizontal="center" vertical="center"/>
    </xf>
    <xf numFmtId="0" fontId="41" fillId="0" borderId="1" xfId="0" applyFont="1" applyBorder="1" applyAlignment="1">
      <alignment horizontal="center" vertical="center" wrapText="1"/>
    </xf>
    <xf numFmtId="44" fontId="0" fillId="0" borderId="0" xfId="0" applyNumberFormat="1" applyFont="1" applyAlignment="1">
      <alignment horizontal="center" vertical="center" wrapText="1"/>
    </xf>
    <xf numFmtId="0" fontId="0" fillId="11" borderId="0" xfId="0" applyFill="1"/>
    <xf numFmtId="0" fontId="41" fillId="3" borderId="0" xfId="0" applyFont="1" applyFill="1" applyAlignment="1">
      <alignment horizontal="center" vertical="center" wrapText="1"/>
    </xf>
    <xf numFmtId="44" fontId="26" fillId="3" borderId="0" xfId="0" applyNumberFormat="1" applyFont="1" applyFill="1"/>
    <xf numFmtId="164" fontId="55" fillId="0" borderId="0" xfId="3" applyFont="1" applyFill="1" applyAlignment="1">
      <alignment horizontal="center" vertical="center" wrapText="1"/>
    </xf>
    <xf numFmtId="173" fontId="55" fillId="0" borderId="0" xfId="0" applyNumberFormat="1" applyFont="1" applyFill="1" applyAlignment="1">
      <alignment horizontal="center" vertical="center" wrapText="1"/>
    </xf>
    <xf numFmtId="44" fontId="57" fillId="0" borderId="0" xfId="11" applyFont="1" applyFill="1" applyAlignment="1">
      <alignment horizontal="right" vertical="center" wrapText="1"/>
    </xf>
    <xf numFmtId="44" fontId="55" fillId="0" borderId="0" xfId="0" applyNumberFormat="1" applyFont="1" applyFill="1" applyAlignment="1">
      <alignment horizontal="center" vertical="center"/>
    </xf>
    <xf numFmtId="0" fontId="56" fillId="3" borderId="0" xfId="0" applyFont="1" applyFill="1" applyAlignment="1">
      <alignment horizontal="center"/>
    </xf>
    <xf numFmtId="171" fontId="0" fillId="0" borderId="0" xfId="0" applyNumberFormat="1" applyFont="1" applyFill="1" applyBorder="1" applyAlignment="1">
      <alignment horizontal="center" vertical="center" wrapText="1"/>
    </xf>
    <xf numFmtId="14" fontId="32" fillId="3" borderId="0" xfId="0" applyNumberFormat="1" applyFont="1" applyFill="1" applyBorder="1" applyAlignment="1">
      <alignment horizontal="center" vertical="center" wrapText="1"/>
    </xf>
    <xf numFmtId="0" fontId="65" fillId="0" borderId="0" xfId="3" applyNumberFormat="1" applyFont="1" applyAlignment="1">
      <alignment horizontal="left" wrapText="1"/>
    </xf>
    <xf numFmtId="0" fontId="66" fillId="0" borderId="0" xfId="0" applyFont="1" applyFill="1" applyBorder="1" applyAlignment="1">
      <alignment horizontal="center" vertical="center" wrapText="1"/>
    </xf>
    <xf numFmtId="0" fontId="66" fillId="0" borderId="0" xfId="0" applyFont="1" applyFill="1" applyAlignment="1">
      <alignment horizontal="center"/>
    </xf>
    <xf numFmtId="0" fontId="66" fillId="0" borderId="0" xfId="0" applyFont="1" applyFill="1" applyAlignment="1">
      <alignment horizontal="center" vertical="center" wrapText="1"/>
    </xf>
    <xf numFmtId="167" fontId="23" fillId="3" borderId="1" xfId="7" applyFont="1" applyFill="1" applyBorder="1" applyAlignment="1">
      <alignment horizontal="center" vertical="center" wrapText="1" readingOrder="1"/>
    </xf>
    <xf numFmtId="167" fontId="23" fillId="11" borderId="1" xfId="7" applyFont="1" applyFill="1" applyBorder="1" applyAlignment="1">
      <alignment horizontal="center" vertical="center" wrapText="1" readingOrder="1"/>
    </xf>
    <xf numFmtId="0" fontId="54" fillId="0" borderId="18" xfId="0" applyFont="1" applyBorder="1" applyAlignment="1"/>
    <xf numFmtId="0" fontId="54" fillId="16" borderId="1" xfId="0" applyFont="1" applyFill="1" applyBorder="1" applyAlignment="1">
      <alignment horizontal="center" vertical="center"/>
    </xf>
    <xf numFmtId="165" fontId="56" fillId="16" borderId="1" xfId="0" applyNumberFormat="1" applyFont="1" applyFill="1" applyBorder="1" applyAlignment="1">
      <alignment vertical="center"/>
    </xf>
    <xf numFmtId="165" fontId="56" fillId="16" borderId="1" xfId="0" applyNumberFormat="1" applyFont="1" applyFill="1" applyBorder="1"/>
    <xf numFmtId="0" fontId="29" fillId="11" borderId="0" xfId="0" applyFont="1" applyFill="1" applyBorder="1" applyAlignment="1">
      <alignment vertical="center"/>
    </xf>
    <xf numFmtId="0" fontId="58" fillId="11" borderId="0" xfId="0" applyFont="1" applyFill="1" applyBorder="1" applyAlignment="1">
      <alignment horizontal="center" vertical="center"/>
    </xf>
    <xf numFmtId="0" fontId="29" fillId="11" borderId="0" xfId="0" applyFont="1" applyFill="1" applyAlignment="1">
      <alignment vertical="center"/>
    </xf>
    <xf numFmtId="44" fontId="29" fillId="11" borderId="0" xfId="0" applyNumberFormat="1" applyFont="1" applyFill="1" applyAlignment="1">
      <alignment vertical="center"/>
    </xf>
    <xf numFmtId="173" fontId="29" fillId="11" borderId="0" xfId="0" applyNumberFormat="1" applyFont="1" applyFill="1" applyAlignment="1">
      <alignment vertical="center"/>
    </xf>
    <xf numFmtId="167" fontId="0" fillId="3" borderId="0" xfId="7" applyFont="1" applyFill="1"/>
    <xf numFmtId="167" fontId="23" fillId="3" borderId="1" xfId="7" applyFont="1" applyFill="1" applyBorder="1" applyAlignment="1">
      <alignment horizontal="center" vertical="center" wrapText="1"/>
    </xf>
    <xf numFmtId="167" fontId="54" fillId="0" borderId="1" xfId="7" applyFont="1" applyBorder="1" applyAlignment="1">
      <alignment horizontal="center" vertical="center"/>
    </xf>
    <xf numFmtId="167" fontId="0" fillId="0" borderId="1" xfId="7" applyFont="1" applyBorder="1" applyAlignment="1">
      <alignment horizontal="center" vertical="center"/>
    </xf>
    <xf numFmtId="167" fontId="0" fillId="0" borderId="0" xfId="7" applyFont="1" applyAlignment="1">
      <alignment horizontal="center" vertical="center"/>
    </xf>
    <xf numFmtId="167" fontId="41" fillId="3" borderId="0" xfId="7" applyFont="1" applyFill="1" applyAlignment="1">
      <alignment horizontal="center"/>
    </xf>
    <xf numFmtId="167" fontId="9" fillId="3" borderId="1" xfId="7" applyFont="1" applyFill="1" applyBorder="1" applyAlignment="1">
      <alignment horizontal="center" vertical="center" wrapText="1"/>
    </xf>
    <xf numFmtId="175" fontId="67" fillId="3" borderId="1" xfId="7" applyNumberFormat="1" applyFont="1" applyFill="1" applyBorder="1" applyAlignment="1">
      <alignment horizontal="center" vertical="center" wrapText="1"/>
    </xf>
    <xf numFmtId="175" fontId="53" fillId="11" borderId="1" xfId="7" applyNumberFormat="1" applyFont="1" applyFill="1" applyBorder="1" applyAlignment="1">
      <alignment horizontal="left" vertical="center" wrapText="1" readingOrder="1"/>
    </xf>
    <xf numFmtId="175" fontId="53" fillId="3" borderId="1" xfId="7" applyNumberFormat="1" applyFont="1" applyFill="1" applyBorder="1" applyAlignment="1">
      <alignment horizontal="left" vertical="center" wrapText="1" readingOrder="1"/>
    </xf>
    <xf numFmtId="175" fontId="0" fillId="0" borderId="1" xfId="7" applyNumberFormat="1" applyFont="1" applyBorder="1" applyAlignment="1">
      <alignment horizontal="center" vertical="center"/>
    </xf>
    <xf numFmtId="0" fontId="23" fillId="11" borderId="12" xfId="14" applyNumberFormat="1" applyFont="1" applyFill="1" applyBorder="1" applyAlignment="1">
      <alignment horizontal="center" vertical="center" wrapText="1" readingOrder="1"/>
    </xf>
    <xf numFmtId="175" fontId="40" fillId="11" borderId="12" xfId="7" applyNumberFormat="1" applyFont="1" applyFill="1" applyBorder="1" applyAlignment="1">
      <alignment horizontal="left" vertical="center" wrapText="1" readingOrder="1"/>
    </xf>
    <xf numFmtId="176" fontId="6" fillId="0" borderId="0" xfId="14" applyNumberFormat="1" applyFont="1" applyFill="1" applyBorder="1"/>
    <xf numFmtId="0" fontId="15" fillId="3" borderId="0" xfId="14" applyFont="1" applyFill="1" applyBorder="1"/>
    <xf numFmtId="0" fontId="6" fillId="0" borderId="0" xfId="14" applyFont="1" applyFill="1" applyBorder="1" applyAlignment="1">
      <alignment horizontal="center" vertical="center"/>
    </xf>
    <xf numFmtId="0" fontId="6" fillId="0" borderId="1" xfId="14" applyFont="1" applyFill="1" applyBorder="1" applyAlignment="1">
      <alignment horizontal="center" vertical="center" wrapText="1"/>
    </xf>
    <xf numFmtId="0" fontId="6" fillId="3" borderId="0" xfId="14" applyFont="1" applyFill="1" applyBorder="1" applyAlignment="1">
      <alignment horizontal="center" vertical="center"/>
    </xf>
    <xf numFmtId="175" fontId="17" fillId="0" borderId="0" xfId="7" applyNumberFormat="1" applyFont="1" applyFill="1" applyBorder="1" applyAlignment="1">
      <alignment horizontal="center" vertical="center"/>
    </xf>
    <xf numFmtId="0" fontId="17" fillId="0" borderId="0" xfId="14" applyFont="1" applyFill="1" applyBorder="1"/>
    <xf numFmtId="0" fontId="69" fillId="0" borderId="0" xfId="14" applyFont="1" applyFill="1" applyBorder="1" applyAlignment="1">
      <alignment horizontal="center" vertical="center"/>
    </xf>
    <xf numFmtId="176" fontId="15" fillId="3" borderId="0" xfId="14" applyNumberFormat="1" applyFont="1" applyFill="1" applyBorder="1"/>
    <xf numFmtId="39" fontId="70" fillId="0" borderId="0" xfId="14" applyNumberFormat="1" applyFont="1" applyFill="1" applyBorder="1" applyAlignment="1"/>
    <xf numFmtId="177" fontId="6" fillId="0" borderId="0" xfId="14" applyNumberFormat="1" applyFont="1" applyFill="1" applyBorder="1" applyAlignment="1"/>
    <xf numFmtId="0" fontId="6" fillId="4" borderId="0" xfId="14" applyFont="1" applyFill="1" applyBorder="1" applyAlignment="1"/>
    <xf numFmtId="0" fontId="6" fillId="0" borderId="0" xfId="14" applyFont="1" applyFill="1" applyBorder="1" applyAlignment="1">
      <alignment horizontal="center"/>
    </xf>
    <xf numFmtId="176" fontId="6" fillId="3" borderId="0" xfId="14" applyNumberFormat="1" applyFont="1" applyFill="1" applyBorder="1" applyAlignment="1">
      <alignment horizontal="center" vertical="center"/>
    </xf>
    <xf numFmtId="0" fontId="47" fillId="12" borderId="0" xfId="14" applyNumberFormat="1" applyFont="1" applyFill="1" applyBorder="1" applyAlignment="1">
      <alignment horizontal="center" vertical="center" wrapText="1" readingOrder="1"/>
    </xf>
    <xf numFmtId="0" fontId="37" fillId="12" borderId="7" xfId="14" applyNumberFormat="1" applyFont="1" applyFill="1" applyBorder="1" applyAlignment="1">
      <alignment vertical="center" wrapText="1" readingOrder="1"/>
    </xf>
    <xf numFmtId="0" fontId="10" fillId="4" borderId="7" xfId="14" applyNumberFormat="1" applyFont="1" applyFill="1" applyBorder="1" applyAlignment="1">
      <alignment vertical="center" wrapText="1" readingOrder="1"/>
    </xf>
    <xf numFmtId="0" fontId="71" fillId="4" borderId="0" xfId="14" applyFont="1" applyFill="1" applyBorder="1" applyAlignment="1">
      <alignment vertical="center" wrapText="1"/>
    </xf>
    <xf numFmtId="0" fontId="71" fillId="12" borderId="0" xfId="14" applyFont="1" applyFill="1" applyBorder="1" applyAlignment="1">
      <alignment vertical="center" wrapText="1"/>
    </xf>
    <xf numFmtId="0" fontId="37" fillId="12" borderId="12" xfId="14" applyNumberFormat="1" applyFont="1" applyFill="1" applyBorder="1" applyAlignment="1">
      <alignment vertical="center" wrapText="1" readingOrder="1"/>
    </xf>
    <xf numFmtId="0" fontId="73" fillId="13" borderId="0" xfId="14" applyFont="1" applyFill="1" applyBorder="1"/>
    <xf numFmtId="0" fontId="71" fillId="12" borderId="0" xfId="14" applyFont="1" applyFill="1" applyBorder="1"/>
    <xf numFmtId="0" fontId="71" fillId="12" borderId="0" xfId="14" applyFont="1" applyFill="1" applyBorder="1" applyAlignment="1">
      <alignment horizontal="center" vertical="center"/>
    </xf>
    <xf numFmtId="0" fontId="74" fillId="12" borderId="0" xfId="14" applyFont="1" applyFill="1" applyBorder="1"/>
    <xf numFmtId="0" fontId="74" fillId="12" borderId="1" xfId="14" applyFont="1" applyFill="1" applyBorder="1" applyAlignment="1">
      <alignment horizontal="center" vertical="center" wrapText="1"/>
    </xf>
    <xf numFmtId="175" fontId="76" fillId="4" borderId="0" xfId="7" applyNumberFormat="1" applyFont="1" applyFill="1" applyBorder="1" applyAlignment="1">
      <alignment horizontal="center" vertical="center"/>
    </xf>
    <xf numFmtId="175" fontId="77" fillId="11" borderId="0" xfId="14" applyNumberFormat="1" applyFont="1" applyFill="1" applyBorder="1"/>
    <xf numFmtId="0" fontId="77" fillId="11" borderId="0" xfId="14" applyFont="1" applyFill="1" applyBorder="1"/>
    <xf numFmtId="0" fontId="37" fillId="12" borderId="13" xfId="14" applyNumberFormat="1" applyFont="1" applyFill="1" applyBorder="1" applyAlignment="1">
      <alignment horizontal="center" vertical="center" wrapText="1" readingOrder="1"/>
    </xf>
    <xf numFmtId="0" fontId="78" fillId="4" borderId="1" xfId="14" applyFont="1" applyFill="1" applyBorder="1" applyAlignment="1">
      <alignment vertical="center" wrapText="1"/>
    </xf>
    <xf numFmtId="0" fontId="71" fillId="12" borderId="1" xfId="14" applyFont="1" applyFill="1" applyBorder="1" applyAlignment="1">
      <alignment vertical="center" wrapText="1"/>
    </xf>
    <xf numFmtId="0" fontId="72" fillId="13" borderId="6" xfId="14" applyNumberFormat="1" applyFont="1" applyFill="1" applyBorder="1" applyAlignment="1">
      <alignment horizontal="center" vertical="center" wrapText="1" readingOrder="1"/>
    </xf>
    <xf numFmtId="0" fontId="72" fillId="13" borderId="13" xfId="14" applyNumberFormat="1" applyFont="1" applyFill="1" applyBorder="1" applyAlignment="1">
      <alignment horizontal="center" vertical="center" wrapText="1" readingOrder="1"/>
    </xf>
    <xf numFmtId="0" fontId="73" fillId="13" borderId="13" xfId="14" applyFont="1" applyFill="1" applyBorder="1" applyAlignment="1">
      <alignment horizontal="center" vertical="center" wrapText="1"/>
    </xf>
    <xf numFmtId="0" fontId="73" fillId="8" borderId="13" xfId="14" applyFont="1" applyFill="1" applyBorder="1" applyAlignment="1">
      <alignment horizontal="center" vertical="center" wrapText="1"/>
    </xf>
    <xf numFmtId="0" fontId="79" fillId="12" borderId="1" xfId="14" applyFont="1" applyFill="1" applyBorder="1" applyAlignment="1">
      <alignment horizontal="center" vertical="center" wrapText="1"/>
    </xf>
    <xf numFmtId="0" fontId="68" fillId="12" borderId="6" xfId="0" applyFont="1" applyFill="1" applyBorder="1" applyAlignment="1">
      <alignment horizontal="center" vertical="center" wrapText="1"/>
    </xf>
    <xf numFmtId="0" fontId="68" fillId="12" borderId="1" xfId="0" applyFont="1" applyFill="1" applyBorder="1" applyAlignment="1">
      <alignment horizontal="center" vertical="center" wrapText="1"/>
    </xf>
    <xf numFmtId="0" fontId="80" fillId="12" borderId="0" xfId="14" applyFont="1" applyFill="1" applyBorder="1" applyAlignment="1">
      <alignment horizontal="center" vertical="center"/>
    </xf>
    <xf numFmtId="0" fontId="81" fillId="3" borderId="6" xfId="0" applyFont="1" applyFill="1" applyBorder="1" applyAlignment="1">
      <alignment horizontal="center" vertical="center" wrapText="1"/>
    </xf>
    <xf numFmtId="0" fontId="7" fillId="4" borderId="1" xfId="14" applyFont="1" applyFill="1" applyBorder="1" applyAlignment="1">
      <alignment horizontal="center" vertical="center" wrapText="1"/>
    </xf>
    <xf numFmtId="0" fontId="11" fillId="6" borderId="21" xfId="14" applyNumberFormat="1" applyFont="1" applyFill="1" applyBorder="1" applyAlignment="1">
      <alignment horizontal="center" vertical="center" wrapText="1" readingOrder="1"/>
    </xf>
    <xf numFmtId="0" fontId="11" fillId="3" borderId="1" xfId="14" applyNumberFormat="1" applyFont="1" applyFill="1" applyBorder="1" applyAlignment="1">
      <alignment horizontal="center" vertical="center" wrapText="1" readingOrder="1"/>
    </xf>
    <xf numFmtId="0" fontId="40" fillId="3" borderId="1" xfId="14" applyNumberFormat="1" applyFont="1" applyFill="1" applyBorder="1" applyAlignment="1">
      <alignment vertical="center" wrapText="1" readingOrder="1"/>
    </xf>
    <xf numFmtId="39" fontId="20" fillId="3" borderId="1" xfId="14" applyNumberFormat="1" applyFont="1" applyFill="1" applyBorder="1" applyAlignment="1">
      <alignment horizontal="right" vertical="top" wrapText="1" readingOrder="1"/>
    </xf>
    <xf numFmtId="39" fontId="20" fillId="3" borderId="1" xfId="14" applyNumberFormat="1" applyFont="1" applyFill="1" applyBorder="1" applyAlignment="1">
      <alignment horizontal="center" vertical="center" wrapText="1" readingOrder="1"/>
    </xf>
    <xf numFmtId="39" fontId="20" fillId="4" borderId="1" xfId="14" applyNumberFormat="1" applyFont="1" applyFill="1" applyBorder="1" applyAlignment="1">
      <alignment horizontal="right" vertical="center"/>
    </xf>
    <xf numFmtId="39" fontId="9" fillId="3" borderId="1" xfId="14" applyNumberFormat="1" applyFont="1" applyFill="1" applyBorder="1" applyAlignment="1">
      <alignment horizontal="right" vertical="center"/>
    </xf>
    <xf numFmtId="39" fontId="9" fillId="3" borderId="1" xfId="14" applyNumberFormat="1" applyFont="1" applyFill="1" applyBorder="1" applyAlignment="1">
      <alignment horizontal="right" vertical="center" wrapText="1" readingOrder="1"/>
    </xf>
    <xf numFmtId="39" fontId="9" fillId="3" borderId="1" xfId="14" applyNumberFormat="1" applyFont="1" applyFill="1" applyBorder="1" applyAlignment="1">
      <alignment horizontal="center" vertical="center" wrapText="1" readingOrder="1"/>
    </xf>
    <xf numFmtId="39" fontId="82" fillId="3" borderId="1" xfId="14" applyNumberFormat="1" applyFont="1" applyFill="1" applyBorder="1" applyAlignment="1">
      <alignment horizontal="right" vertical="center"/>
    </xf>
    <xf numFmtId="10" fontId="20" fillId="3" borderId="1" xfId="17" applyNumberFormat="1" applyFont="1" applyFill="1" applyBorder="1" applyAlignment="1">
      <alignment horizontal="center" vertical="center"/>
    </xf>
    <xf numFmtId="39" fontId="20" fillId="17" borderId="1" xfId="14" applyNumberFormat="1" applyFont="1" applyFill="1" applyBorder="1" applyAlignment="1">
      <alignment horizontal="right" vertical="center"/>
    </xf>
    <xf numFmtId="39" fontId="20" fillId="17" borderId="1" xfId="14" applyNumberFormat="1" applyFont="1" applyFill="1" applyBorder="1" applyAlignment="1">
      <alignment horizontal="center" vertical="center" wrapText="1"/>
    </xf>
    <xf numFmtId="39" fontId="20" fillId="3" borderId="5" xfId="14" applyNumberFormat="1" applyFont="1" applyFill="1" applyBorder="1" applyAlignment="1">
      <alignment horizontal="right" vertical="center"/>
    </xf>
    <xf numFmtId="10" fontId="20" fillId="0" borderId="1" xfId="14" applyNumberFormat="1" applyFont="1" applyFill="1" applyBorder="1" applyAlignment="1">
      <alignment horizontal="center" vertical="center"/>
    </xf>
    <xf numFmtId="10" fontId="17" fillId="3" borderId="0" xfId="14" applyNumberFormat="1" applyFont="1" applyFill="1" applyBorder="1" applyAlignment="1">
      <alignment horizontal="center" vertical="center"/>
    </xf>
    <xf numFmtId="0" fontId="83" fillId="3" borderId="1" xfId="14" applyFont="1" applyFill="1" applyBorder="1"/>
    <xf numFmtId="10" fontId="6" fillId="3" borderId="8" xfId="14" applyNumberFormat="1" applyFont="1" applyFill="1" applyBorder="1" applyAlignment="1">
      <alignment horizontal="center" vertical="center" wrapText="1"/>
    </xf>
    <xf numFmtId="175" fontId="84" fillId="3" borderId="8" xfId="7" applyNumberFormat="1" applyFont="1" applyFill="1" applyBorder="1" applyAlignment="1">
      <alignment horizontal="center" vertical="center"/>
    </xf>
    <xf numFmtId="0" fontId="8" fillId="3" borderId="21" xfId="14" applyNumberFormat="1" applyFont="1" applyFill="1" applyBorder="1" applyAlignment="1">
      <alignment horizontal="center" vertical="center" wrapText="1" readingOrder="1"/>
    </xf>
    <xf numFmtId="10" fontId="16" fillId="3" borderId="1" xfId="17" applyNumberFormat="1" applyFont="1" applyFill="1" applyBorder="1" applyAlignment="1">
      <alignment horizontal="center" vertical="center"/>
    </xf>
    <xf numFmtId="10" fontId="17" fillId="3" borderId="0" xfId="17" applyNumberFormat="1" applyFont="1" applyFill="1" applyBorder="1" applyAlignment="1">
      <alignment horizontal="center" vertical="center"/>
    </xf>
    <xf numFmtId="178" fontId="85" fillId="3" borderId="1" xfId="14" applyNumberFormat="1" applyFont="1" applyFill="1" applyBorder="1" applyAlignment="1">
      <alignment horizontal="right" vertical="center" wrapText="1" readingOrder="1"/>
    </xf>
    <xf numFmtId="10" fontId="15" fillId="3" borderId="1" xfId="17" applyNumberFormat="1" applyFont="1" applyFill="1" applyBorder="1" applyAlignment="1">
      <alignment horizontal="center" vertical="center" wrapText="1"/>
    </xf>
    <xf numFmtId="0" fontId="17" fillId="3" borderId="0" xfId="14" applyFont="1" applyFill="1" applyBorder="1"/>
    <xf numFmtId="0" fontId="69" fillId="3" borderId="0" xfId="14" applyFont="1" applyFill="1" applyBorder="1" applyAlignment="1">
      <alignment horizontal="center" vertical="center"/>
    </xf>
    <xf numFmtId="0" fontId="35" fillId="18" borderId="1" xfId="14" applyNumberFormat="1" applyFont="1" applyFill="1" applyBorder="1" applyAlignment="1">
      <alignment horizontal="center" vertical="center" wrapText="1" readingOrder="1"/>
    </xf>
    <xf numFmtId="0" fontId="37" fillId="18" borderId="1" xfId="14" applyNumberFormat="1" applyFont="1" applyFill="1" applyBorder="1" applyAlignment="1">
      <alignment horizontal="left" vertical="center" wrapText="1" readingOrder="1"/>
    </xf>
    <xf numFmtId="39" fontId="35" fillId="18" borderId="1" xfId="14" applyNumberFormat="1" applyFont="1" applyFill="1" applyBorder="1" applyAlignment="1">
      <alignment horizontal="right" vertical="center" wrapText="1" readingOrder="1"/>
    </xf>
    <xf numFmtId="39" fontId="42" fillId="18" borderId="1" xfId="14" applyNumberFormat="1" applyFont="1" applyFill="1" applyBorder="1" applyAlignment="1">
      <alignment horizontal="right" vertical="center" wrapText="1" readingOrder="1"/>
    </xf>
    <xf numFmtId="39" fontId="42" fillId="18" borderId="1" xfId="14" applyNumberFormat="1" applyFont="1" applyFill="1" applyBorder="1" applyAlignment="1">
      <alignment horizontal="right" vertical="top" wrapText="1" readingOrder="1"/>
    </xf>
    <xf numFmtId="39" fontId="20" fillId="4" borderId="1" xfId="14" applyNumberFormat="1" applyFont="1" applyFill="1" applyBorder="1" applyAlignment="1">
      <alignment horizontal="right" vertical="center" wrapText="1" readingOrder="1"/>
    </xf>
    <xf numFmtId="39" fontId="86" fillId="18" borderId="1" xfId="14" applyNumberFormat="1" applyFont="1" applyFill="1" applyBorder="1" applyAlignment="1">
      <alignment horizontal="right" vertical="center" wrapText="1" readingOrder="1"/>
    </xf>
    <xf numFmtId="10" fontId="42" fillId="19" borderId="1" xfId="17" applyNumberFormat="1" applyFont="1" applyFill="1" applyBorder="1" applyAlignment="1">
      <alignment horizontal="center" vertical="center"/>
    </xf>
    <xf numFmtId="39" fontId="42" fillId="19" borderId="1" xfId="14" applyNumberFormat="1" applyFont="1" applyFill="1" applyBorder="1" applyAlignment="1">
      <alignment horizontal="right" vertical="center"/>
    </xf>
    <xf numFmtId="39" fontId="42" fillId="19" borderId="1" xfId="14" applyNumberFormat="1" applyFont="1" applyFill="1" applyBorder="1" applyAlignment="1">
      <alignment horizontal="center" vertical="center" wrapText="1"/>
    </xf>
    <xf numFmtId="39" fontId="42" fillId="19" borderId="5" xfId="14" applyNumberFormat="1" applyFont="1" applyFill="1" applyBorder="1" applyAlignment="1">
      <alignment horizontal="right" vertical="center"/>
    </xf>
    <xf numFmtId="10" fontId="42" fillId="19" borderId="1" xfId="14" applyNumberFormat="1" applyFont="1" applyFill="1" applyBorder="1" applyAlignment="1">
      <alignment horizontal="center" vertical="center"/>
    </xf>
    <xf numFmtId="10" fontId="79" fillId="3" borderId="0" xfId="14" applyNumberFormat="1" applyFont="1" applyFill="1" applyBorder="1" applyAlignment="1">
      <alignment horizontal="center" vertical="center"/>
    </xf>
    <xf numFmtId="0" fontId="83" fillId="19" borderId="1" xfId="14" applyFont="1" applyFill="1" applyBorder="1"/>
    <xf numFmtId="10" fontId="15" fillId="19" borderId="1" xfId="17" applyNumberFormat="1" applyFont="1" applyFill="1" applyBorder="1" applyAlignment="1">
      <alignment horizontal="center" vertical="center" wrapText="1"/>
    </xf>
    <xf numFmtId="175" fontId="18" fillId="19" borderId="1" xfId="7" applyNumberFormat="1" applyFont="1" applyFill="1" applyBorder="1" applyAlignment="1">
      <alignment horizontal="center" vertical="center"/>
    </xf>
    <xf numFmtId="0" fontId="87" fillId="3" borderId="21" xfId="14" applyNumberFormat="1" applyFont="1" applyFill="1" applyBorder="1" applyAlignment="1">
      <alignment horizontal="center" vertical="center" wrapText="1" readingOrder="1"/>
    </xf>
    <xf numFmtId="0" fontId="88" fillId="18" borderId="1" xfId="14" applyNumberFormat="1" applyFont="1" applyFill="1" applyBorder="1" applyAlignment="1">
      <alignment horizontal="center" vertical="center" wrapText="1" readingOrder="1"/>
    </xf>
    <xf numFmtId="39" fontId="88" fillId="18" borderId="1" xfId="14" applyNumberFormat="1" applyFont="1" applyFill="1" applyBorder="1" applyAlignment="1">
      <alignment horizontal="right" vertical="center" wrapText="1" readingOrder="1"/>
    </xf>
    <xf numFmtId="39" fontId="86" fillId="18" borderId="1" xfId="14" applyNumberFormat="1" applyFont="1" applyFill="1" applyBorder="1" applyAlignment="1">
      <alignment horizontal="right" vertical="center"/>
    </xf>
    <xf numFmtId="39" fontId="42" fillId="18" borderId="1" xfId="14" applyNumberFormat="1" applyFont="1" applyFill="1" applyBorder="1" applyAlignment="1">
      <alignment horizontal="right" vertical="center"/>
    </xf>
    <xf numFmtId="10" fontId="89" fillId="3" borderId="0" xfId="14" applyNumberFormat="1" applyFont="1" applyFill="1" applyBorder="1" applyAlignment="1">
      <alignment horizontal="center" vertical="center"/>
    </xf>
    <xf numFmtId="0" fontId="8" fillId="0" borderId="21" xfId="14" applyNumberFormat="1" applyFont="1" applyFill="1" applyBorder="1" applyAlignment="1">
      <alignment horizontal="center" vertical="center" wrapText="1" readingOrder="1"/>
    </xf>
    <xf numFmtId="0" fontId="8" fillId="0" borderId="1" xfId="14" applyNumberFormat="1" applyFont="1" applyFill="1" applyBorder="1" applyAlignment="1">
      <alignment horizontal="center" vertical="center" wrapText="1" readingOrder="1"/>
    </xf>
    <xf numFmtId="49" fontId="8" fillId="0" borderId="1" xfId="14" applyNumberFormat="1" applyFont="1" applyFill="1" applyBorder="1" applyAlignment="1">
      <alignment horizontal="center" vertical="center" wrapText="1" readingOrder="1"/>
    </xf>
    <xf numFmtId="39" fontId="8" fillId="20" borderId="1" xfId="14" applyNumberFormat="1" applyFont="1" applyFill="1" applyBorder="1" applyAlignment="1">
      <alignment horizontal="right" vertical="center" wrapText="1" readingOrder="1"/>
    </xf>
    <xf numFmtId="39" fontId="20" fillId="0" borderId="1" xfId="14" applyNumberFormat="1" applyFont="1" applyFill="1" applyBorder="1" applyAlignment="1">
      <alignment horizontal="right" vertical="center" wrapText="1" readingOrder="1"/>
    </xf>
    <xf numFmtId="0" fontId="9" fillId="3" borderId="1" xfId="14" applyNumberFormat="1" applyFont="1" applyFill="1" applyBorder="1" applyAlignment="1">
      <alignment horizontal="right" vertical="center" wrapText="1" readingOrder="1"/>
    </xf>
    <xf numFmtId="175" fontId="84" fillId="3" borderId="1" xfId="7" applyNumberFormat="1" applyFont="1" applyFill="1" applyBorder="1" applyAlignment="1">
      <alignment horizontal="center" vertical="center"/>
    </xf>
    <xf numFmtId="49" fontId="35" fillId="18" borderId="1" xfId="14" applyNumberFormat="1" applyFont="1" applyFill="1" applyBorder="1" applyAlignment="1">
      <alignment horizontal="center" vertical="center" wrapText="1" readingOrder="1"/>
    </xf>
    <xf numFmtId="39" fontId="86" fillId="4" borderId="1" xfId="14" applyNumberFormat="1" applyFont="1" applyFill="1" applyBorder="1" applyAlignment="1">
      <alignment horizontal="right" vertical="center" wrapText="1" readingOrder="1"/>
    </xf>
    <xf numFmtId="0" fontId="86" fillId="18" borderId="1" xfId="14" applyNumberFormat="1" applyFont="1" applyFill="1" applyBorder="1" applyAlignment="1">
      <alignment horizontal="right" vertical="center" wrapText="1" readingOrder="1"/>
    </xf>
    <xf numFmtId="10" fontId="42" fillId="18" borderId="1" xfId="17" applyNumberFormat="1" applyFont="1" applyFill="1" applyBorder="1" applyAlignment="1">
      <alignment horizontal="center" vertical="center"/>
    </xf>
    <xf numFmtId="39" fontId="43" fillId="18" borderId="12" xfId="14" applyNumberFormat="1" applyFont="1" applyFill="1" applyBorder="1" applyAlignment="1">
      <alignment horizontal="right" vertical="center"/>
    </xf>
    <xf numFmtId="39" fontId="43" fillId="18" borderId="1" xfId="14" applyNumberFormat="1" applyFont="1" applyFill="1" applyBorder="1" applyAlignment="1">
      <alignment horizontal="center" vertical="center" wrapText="1"/>
    </xf>
    <xf numFmtId="39" fontId="42" fillId="18" borderId="0" xfId="14" applyNumberFormat="1" applyFont="1" applyFill="1" applyBorder="1" applyAlignment="1">
      <alignment horizontal="right" vertical="center"/>
    </xf>
    <xf numFmtId="0" fontId="36" fillId="19" borderId="1" xfId="14" applyFont="1" applyFill="1" applyBorder="1" applyAlignment="1">
      <alignment horizontal="center" vertical="center" wrapText="1"/>
    </xf>
    <xf numFmtId="0" fontId="3" fillId="0" borderId="1" xfId="14" applyNumberFormat="1" applyFont="1" applyFill="1" applyBorder="1" applyAlignment="1">
      <alignment horizontal="left" vertical="center" wrapText="1" readingOrder="1"/>
    </xf>
    <xf numFmtId="39" fontId="20" fillId="3" borderId="1" xfId="14" applyNumberFormat="1" applyFont="1" applyFill="1" applyBorder="1" applyAlignment="1">
      <alignment horizontal="center" vertical="center"/>
    </xf>
    <xf numFmtId="39" fontId="16" fillId="3" borderId="13" xfId="14" applyNumberFormat="1" applyFont="1" applyFill="1" applyBorder="1" applyAlignment="1">
      <alignment horizontal="right" vertical="center"/>
    </xf>
    <xf numFmtId="39" fontId="16" fillId="6" borderId="1" xfId="14" applyNumberFormat="1" applyFont="1" applyFill="1" applyBorder="1" applyAlignment="1">
      <alignment horizontal="center" vertical="center" wrapText="1"/>
    </xf>
    <xf numFmtId="39" fontId="20" fillId="3" borderId="0" xfId="14" applyNumberFormat="1" applyFont="1" applyFill="1" applyBorder="1" applyAlignment="1">
      <alignment horizontal="right" vertical="center"/>
    </xf>
    <xf numFmtId="0" fontId="20" fillId="0" borderId="1" xfId="14" applyFont="1" applyFill="1" applyBorder="1" applyAlignment="1">
      <alignment horizontal="center" vertical="center"/>
    </xf>
    <xf numFmtId="0" fontId="17" fillId="3" borderId="0" xfId="14" applyFont="1" applyFill="1" applyBorder="1" applyAlignment="1">
      <alignment horizontal="center" vertical="center"/>
    </xf>
    <xf numFmtId="0" fontId="83" fillId="0" borderId="1" xfId="14" applyFont="1" applyFill="1" applyBorder="1"/>
    <xf numFmtId="0" fontId="15" fillId="3" borderId="1" xfId="14" applyFont="1" applyFill="1" applyBorder="1" applyAlignment="1">
      <alignment horizontal="center" vertical="center" wrapText="1"/>
    </xf>
    <xf numFmtId="0" fontId="11" fillId="5" borderId="22" xfId="14" applyNumberFormat="1" applyFont="1" applyFill="1" applyBorder="1" applyAlignment="1">
      <alignment horizontal="center" vertical="center" wrapText="1" readingOrder="1"/>
    </xf>
    <xf numFmtId="0" fontId="11" fillId="5" borderId="23" xfId="14" applyNumberFormat="1" applyFont="1" applyFill="1" applyBorder="1" applyAlignment="1">
      <alignment horizontal="center" vertical="center" wrapText="1" readingOrder="1"/>
    </xf>
    <xf numFmtId="0" fontId="3" fillId="5" borderId="23" xfId="14" applyNumberFormat="1" applyFont="1" applyFill="1" applyBorder="1" applyAlignment="1">
      <alignment horizontal="left" vertical="center" wrapText="1" readingOrder="1"/>
    </xf>
    <xf numFmtId="39" fontId="8" fillId="5" borderId="23" xfId="14" applyNumberFormat="1" applyFont="1" applyFill="1" applyBorder="1" applyAlignment="1">
      <alignment horizontal="right" vertical="center" wrapText="1" readingOrder="1"/>
    </xf>
    <xf numFmtId="39" fontId="8" fillId="5" borderId="24" xfId="14" applyNumberFormat="1" applyFont="1" applyFill="1" applyBorder="1" applyAlignment="1">
      <alignment horizontal="right" vertical="center" wrapText="1" readingOrder="1"/>
    </xf>
    <xf numFmtId="39" fontId="16" fillId="5" borderId="23" xfId="14" applyNumberFormat="1" applyFont="1" applyFill="1" applyBorder="1" applyAlignment="1">
      <alignment horizontal="right" vertical="center" wrapText="1" readingOrder="1"/>
    </xf>
    <xf numFmtId="39" fontId="16" fillId="5" borderId="25" xfId="14" applyNumberFormat="1" applyFont="1" applyFill="1" applyBorder="1" applyAlignment="1">
      <alignment horizontal="right" vertical="center" wrapText="1" readingOrder="1"/>
    </xf>
    <xf numFmtId="39" fontId="16" fillId="4" borderId="25" xfId="14" applyNumberFormat="1" applyFont="1" applyFill="1" applyBorder="1" applyAlignment="1">
      <alignment horizontal="right" vertical="center" wrapText="1" readingOrder="1"/>
    </xf>
    <xf numFmtId="39" fontId="90" fillId="5" borderId="25" xfId="14" applyNumberFormat="1" applyFont="1" applyFill="1" applyBorder="1" applyAlignment="1">
      <alignment horizontal="right" vertical="center" wrapText="1" readingOrder="1"/>
    </xf>
    <xf numFmtId="39" fontId="16" fillId="18" borderId="26" xfId="14" applyNumberFormat="1" applyFont="1" applyFill="1" applyBorder="1" applyAlignment="1">
      <alignment horizontal="right" vertical="center" wrapText="1" readingOrder="1"/>
    </xf>
    <xf numFmtId="39" fontId="16" fillId="5" borderId="25" xfId="14" applyNumberFormat="1" applyFont="1" applyFill="1" applyBorder="1" applyAlignment="1">
      <alignment horizontal="center" vertical="center" wrapText="1"/>
    </xf>
    <xf numFmtId="39" fontId="16" fillId="5" borderId="27" xfId="14" applyNumberFormat="1" applyFont="1" applyFill="1" applyBorder="1" applyAlignment="1">
      <alignment horizontal="right" vertical="center" wrapText="1" readingOrder="1"/>
    </xf>
    <xf numFmtId="39" fontId="16" fillId="5" borderId="28" xfId="14" applyNumberFormat="1" applyFont="1" applyFill="1" applyBorder="1" applyAlignment="1">
      <alignment horizontal="right" vertical="center" wrapText="1" readingOrder="1"/>
    </xf>
    <xf numFmtId="39" fontId="19" fillId="3" borderId="0" xfId="14" applyNumberFormat="1" applyFont="1" applyFill="1" applyBorder="1" applyAlignment="1">
      <alignment horizontal="center" vertical="center" wrapText="1"/>
    </xf>
    <xf numFmtId="0" fontId="6" fillId="19" borderId="1" xfId="14" applyFont="1" applyFill="1" applyBorder="1" applyAlignment="1">
      <alignment horizontal="center" vertical="center" wrapText="1"/>
    </xf>
    <xf numFmtId="0" fontId="11" fillId="5" borderId="29" xfId="14" applyNumberFormat="1" applyFont="1" applyFill="1" applyBorder="1" applyAlignment="1">
      <alignment horizontal="center" vertical="center" wrapText="1" readingOrder="1"/>
    </xf>
    <xf numFmtId="0" fontId="3" fillId="5" borderId="29" xfId="14" applyNumberFormat="1" applyFont="1" applyFill="1" applyBorder="1" applyAlignment="1">
      <alignment horizontal="left" vertical="center" wrapText="1" readingOrder="1"/>
    </xf>
    <xf numFmtId="39" fontId="8" fillId="5" borderId="29" xfId="14" applyNumberFormat="1" applyFont="1" applyFill="1" applyBorder="1" applyAlignment="1">
      <alignment horizontal="right" vertical="center" wrapText="1" readingOrder="1"/>
    </xf>
    <xf numFmtId="39" fontId="8" fillId="5" borderId="30" xfId="14" applyNumberFormat="1" applyFont="1" applyFill="1" applyBorder="1" applyAlignment="1">
      <alignment horizontal="right" vertical="center" wrapText="1" readingOrder="1"/>
    </xf>
    <xf numFmtId="39" fontId="16" fillId="5" borderId="29" xfId="14" applyNumberFormat="1" applyFont="1" applyFill="1" applyBorder="1" applyAlignment="1">
      <alignment horizontal="right" vertical="center" wrapText="1" readingOrder="1"/>
    </xf>
    <xf numFmtId="39" fontId="16" fillId="5" borderId="31" xfId="14" applyNumberFormat="1" applyFont="1" applyFill="1" applyBorder="1" applyAlignment="1">
      <alignment horizontal="right" vertical="center" wrapText="1" readingOrder="1"/>
    </xf>
    <xf numFmtId="39" fontId="16" fillId="4" borderId="31" xfId="14" applyNumberFormat="1" applyFont="1" applyFill="1" applyBorder="1" applyAlignment="1">
      <alignment horizontal="right" vertical="center" wrapText="1" readingOrder="1"/>
    </xf>
    <xf numFmtId="39" fontId="90" fillId="5" borderId="31" xfId="14" applyNumberFormat="1" applyFont="1" applyFill="1" applyBorder="1" applyAlignment="1">
      <alignment horizontal="right" vertical="center" wrapText="1" readingOrder="1"/>
    </xf>
    <xf numFmtId="39" fontId="16" fillId="5" borderId="31" xfId="14" applyNumberFormat="1" applyFont="1" applyFill="1" applyBorder="1" applyAlignment="1">
      <alignment horizontal="center" vertical="center" wrapText="1"/>
    </xf>
    <xf numFmtId="39" fontId="16" fillId="5" borderId="32" xfId="14" applyNumberFormat="1" applyFont="1" applyFill="1" applyBorder="1" applyAlignment="1">
      <alignment horizontal="right" vertical="center" wrapText="1" readingOrder="1"/>
    </xf>
    <xf numFmtId="39" fontId="21" fillId="4" borderId="1" xfId="14" applyNumberFormat="1" applyFont="1" applyFill="1" applyBorder="1" applyAlignment="1">
      <alignment horizontal="right" vertical="center"/>
    </xf>
    <xf numFmtId="0" fontId="21" fillId="3" borderId="1" xfId="14" applyNumberFormat="1" applyFont="1" applyFill="1" applyBorder="1" applyAlignment="1">
      <alignment horizontal="right" vertical="center" wrapText="1" readingOrder="1"/>
    </xf>
    <xf numFmtId="39" fontId="21" fillId="3" borderId="5" xfId="14" applyNumberFormat="1" applyFont="1" applyFill="1" applyBorder="1" applyAlignment="1">
      <alignment vertical="center" wrapText="1" readingOrder="1"/>
    </xf>
    <xf numFmtId="0" fontId="21" fillId="3" borderId="1" xfId="14" applyFont="1" applyFill="1" applyBorder="1" applyAlignment="1">
      <alignment horizontal="center" vertical="center"/>
    </xf>
    <xf numFmtId="0" fontId="17" fillId="3" borderId="1" xfId="14" applyFont="1" applyFill="1" applyBorder="1"/>
    <xf numFmtId="0" fontId="17" fillId="3" borderId="1" xfId="14" applyFont="1" applyFill="1" applyBorder="1" applyAlignment="1">
      <alignment horizontal="center" vertical="center" wrapText="1"/>
    </xf>
    <xf numFmtId="0" fontId="17" fillId="6" borderId="0" xfId="14" applyFont="1" applyFill="1" applyBorder="1"/>
    <xf numFmtId="0" fontId="69" fillId="6" borderId="0" xfId="14" applyFont="1" applyFill="1" applyBorder="1" applyAlignment="1">
      <alignment horizontal="center" vertical="center"/>
    </xf>
    <xf numFmtId="0" fontId="8" fillId="0" borderId="21" xfId="0" applyNumberFormat="1" applyFont="1" applyFill="1" applyBorder="1" applyAlignment="1">
      <alignment horizontal="center" vertical="center" wrapText="1" readingOrder="1"/>
    </xf>
    <xf numFmtId="0" fontId="8" fillId="3" borderId="1" xfId="0" applyNumberFormat="1" applyFont="1" applyFill="1" applyBorder="1" applyAlignment="1">
      <alignment horizontal="center" vertical="center" wrapText="1" readingOrder="1"/>
    </xf>
    <xf numFmtId="39" fontId="20" fillId="21" borderId="1" xfId="14" applyNumberFormat="1" applyFont="1" applyFill="1" applyBorder="1" applyAlignment="1">
      <alignment horizontal="right" vertical="center" wrapText="1" readingOrder="1"/>
    </xf>
    <xf numFmtId="39" fontId="20" fillId="21" borderId="1" xfId="14" applyNumberFormat="1" applyFont="1" applyFill="1" applyBorder="1" applyAlignment="1">
      <alignment horizontal="right" vertical="top" wrapText="1" readingOrder="1"/>
    </xf>
    <xf numFmtId="39" fontId="21" fillId="3" borderId="1" xfId="14" applyNumberFormat="1" applyFont="1" applyFill="1" applyBorder="1" applyAlignment="1">
      <alignment horizontal="right" vertical="center"/>
    </xf>
    <xf numFmtId="10" fontId="21" fillId="3" borderId="1" xfId="17" applyNumberFormat="1" applyFont="1" applyFill="1" applyBorder="1" applyAlignment="1">
      <alignment horizontal="center" vertical="center"/>
    </xf>
    <xf numFmtId="39" fontId="21" fillId="17" borderId="1" xfId="14" applyNumberFormat="1" applyFont="1" applyFill="1" applyBorder="1" applyAlignment="1">
      <alignment horizontal="right" vertical="center"/>
    </xf>
    <xf numFmtId="39" fontId="21" fillId="17" borderId="1" xfId="14" applyNumberFormat="1" applyFont="1" applyFill="1" applyBorder="1" applyAlignment="1">
      <alignment horizontal="center" vertical="center" wrapText="1"/>
    </xf>
    <xf numFmtId="39" fontId="21" fillId="3" borderId="5" xfId="14" applyNumberFormat="1" applyFont="1" applyFill="1" applyBorder="1" applyAlignment="1">
      <alignment horizontal="right" vertical="center"/>
    </xf>
    <xf numFmtId="10" fontId="21" fillId="0" borderId="1" xfId="14" applyNumberFormat="1" applyFont="1" applyFill="1" applyBorder="1" applyAlignment="1">
      <alignment horizontal="center" vertical="center"/>
    </xf>
    <xf numFmtId="10" fontId="17" fillId="3" borderId="1" xfId="14" applyNumberFormat="1" applyFont="1" applyFill="1" applyBorder="1" applyAlignment="1">
      <alignment horizontal="center" vertical="center" wrapText="1"/>
    </xf>
    <xf numFmtId="0" fontId="17" fillId="3" borderId="1" xfId="14" applyFont="1" applyFill="1" applyBorder="1" applyAlignment="1">
      <alignment wrapText="1"/>
    </xf>
    <xf numFmtId="175" fontId="17" fillId="6" borderId="0" xfId="14" applyNumberFormat="1" applyFont="1" applyFill="1" applyBorder="1"/>
    <xf numFmtId="39" fontId="35" fillId="5" borderId="1" xfId="14" applyNumberFormat="1" applyFont="1" applyFill="1" applyBorder="1" applyAlignment="1">
      <alignment horizontal="right" vertical="center" wrapText="1" readingOrder="1"/>
    </xf>
    <xf numFmtId="39" fontId="42" fillId="5" borderId="1" xfId="14" applyNumberFormat="1" applyFont="1" applyFill="1" applyBorder="1" applyAlignment="1">
      <alignment horizontal="right" vertical="center" wrapText="1" readingOrder="1"/>
    </xf>
    <xf numFmtId="39" fontId="39" fillId="4" borderId="1" xfId="14" applyNumberFormat="1" applyFont="1" applyFill="1" applyBorder="1" applyAlignment="1">
      <alignment horizontal="right" vertical="center" wrapText="1" readingOrder="1"/>
    </xf>
    <xf numFmtId="39" fontId="39" fillId="18" borderId="1" xfId="14" applyNumberFormat="1" applyFont="1" applyFill="1" applyBorder="1" applyAlignment="1">
      <alignment horizontal="right" vertical="center"/>
    </xf>
    <xf numFmtId="10" fontId="39" fillId="18" borderId="1" xfId="17" applyNumberFormat="1" applyFont="1" applyFill="1" applyBorder="1" applyAlignment="1">
      <alignment horizontal="center" vertical="center"/>
    </xf>
    <xf numFmtId="39" fontId="39" fillId="5" borderId="1" xfId="14" applyNumberFormat="1" applyFont="1" applyFill="1" applyBorder="1" applyAlignment="1">
      <alignment horizontal="right" vertical="center"/>
    </xf>
    <xf numFmtId="39" fontId="39" fillId="3" borderId="5" xfId="14" applyNumberFormat="1" applyFont="1" applyFill="1" applyBorder="1" applyAlignment="1">
      <alignment horizontal="right" vertical="center"/>
    </xf>
    <xf numFmtId="10" fontId="39" fillId="19" borderId="1" xfId="14" applyNumberFormat="1" applyFont="1" applyFill="1" applyBorder="1" applyAlignment="1">
      <alignment horizontal="center" vertical="center"/>
    </xf>
    <xf numFmtId="0" fontId="89" fillId="5" borderId="1" xfId="14" applyFont="1" applyFill="1" applyBorder="1"/>
    <xf numFmtId="0" fontId="89" fillId="5" borderId="1" xfId="14" applyFont="1" applyFill="1" applyBorder="1" applyAlignment="1">
      <alignment horizontal="center" vertical="center" wrapText="1"/>
    </xf>
    <xf numFmtId="175" fontId="89" fillId="5" borderId="1" xfId="7" applyNumberFormat="1" applyFont="1" applyFill="1" applyBorder="1" applyAlignment="1">
      <alignment horizontal="center" vertical="center"/>
    </xf>
    <xf numFmtId="0" fontId="89" fillId="5" borderId="0" xfId="14" applyFont="1" applyFill="1" applyBorder="1"/>
    <xf numFmtId="0" fontId="92" fillId="5" borderId="0" xfId="14" applyFont="1" applyFill="1" applyBorder="1" applyAlignment="1">
      <alignment horizontal="center" vertical="center"/>
    </xf>
    <xf numFmtId="0" fontId="17" fillId="6" borderId="1" xfId="14" applyFont="1" applyFill="1" applyBorder="1"/>
    <xf numFmtId="10" fontId="17" fillId="0" borderId="1" xfId="14" applyNumberFormat="1" applyFont="1" applyFill="1" applyBorder="1" applyAlignment="1">
      <alignment horizontal="center" vertical="center" wrapText="1"/>
    </xf>
    <xf numFmtId="10" fontId="39" fillId="22" borderId="1" xfId="17" applyNumberFormat="1" applyFont="1" applyFill="1" applyBorder="1" applyAlignment="1">
      <alignment horizontal="center" vertical="center"/>
    </xf>
    <xf numFmtId="0" fontId="20" fillId="17" borderId="1" xfId="14" applyNumberFormat="1" applyFont="1" applyFill="1" applyBorder="1" applyAlignment="1">
      <alignment vertical="center" wrapText="1" readingOrder="1"/>
    </xf>
    <xf numFmtId="0" fontId="21" fillId="4" borderId="1" xfId="14" applyNumberFormat="1" applyFont="1" applyFill="1" applyBorder="1" applyAlignment="1">
      <alignment vertical="center" wrapText="1" readingOrder="1"/>
    </xf>
    <xf numFmtId="0" fontId="21" fillId="17" borderId="1" xfId="14" applyNumberFormat="1" applyFont="1" applyFill="1" applyBorder="1" applyAlignment="1">
      <alignment vertical="center" wrapText="1" readingOrder="1"/>
    </xf>
    <xf numFmtId="0" fontId="21" fillId="6" borderId="1" xfId="14" applyFont="1" applyFill="1" applyBorder="1" applyAlignment="1">
      <alignment horizontal="center" vertical="center"/>
    </xf>
    <xf numFmtId="0" fontId="8" fillId="17" borderId="21" xfId="14" applyNumberFormat="1" applyFont="1" applyFill="1" applyBorder="1" applyAlignment="1">
      <alignment horizontal="center" vertical="center" wrapText="1" readingOrder="1"/>
    </xf>
    <xf numFmtId="167" fontId="21" fillId="3" borderId="1" xfId="7" applyFont="1" applyFill="1" applyBorder="1" applyAlignment="1">
      <alignment horizontal="right" vertical="center" wrapText="1" readingOrder="1"/>
    </xf>
    <xf numFmtId="167" fontId="21" fillId="3" borderId="1" xfId="7" applyFont="1" applyFill="1" applyBorder="1" applyAlignment="1">
      <alignment horizontal="right" vertical="center"/>
    </xf>
    <xf numFmtId="0" fontId="17" fillId="17" borderId="0" xfId="14" applyFont="1" applyFill="1" applyBorder="1"/>
    <xf numFmtId="0" fontId="15" fillId="17" borderId="0" xfId="14" applyFont="1" applyFill="1" applyBorder="1"/>
    <xf numFmtId="0" fontId="69" fillId="17" borderId="0" xfId="14" applyFont="1" applyFill="1" applyBorder="1" applyAlignment="1">
      <alignment horizontal="center" vertical="center"/>
    </xf>
    <xf numFmtId="39" fontId="93" fillId="3" borderId="1" xfId="14" applyNumberFormat="1" applyFont="1" applyFill="1" applyBorder="1" applyAlignment="1">
      <alignment horizontal="right" vertical="center"/>
    </xf>
    <xf numFmtId="0" fontId="76" fillId="6" borderId="0" xfId="14" applyFont="1" applyFill="1" applyBorder="1"/>
    <xf numFmtId="168" fontId="17" fillId="6" borderId="0" xfId="14" applyNumberFormat="1" applyFont="1" applyFill="1" applyBorder="1"/>
    <xf numFmtId="39" fontId="45" fillId="21" borderId="1" xfId="14" applyNumberFormat="1" applyFont="1" applyFill="1" applyBorder="1" applyAlignment="1">
      <alignment horizontal="right" vertical="center" wrapText="1" readingOrder="1"/>
    </xf>
    <xf numFmtId="39" fontId="19" fillId="3" borderId="1" xfId="14" applyNumberFormat="1" applyFont="1" applyFill="1" applyBorder="1" applyAlignment="1">
      <alignment horizontal="right" vertical="center"/>
    </xf>
    <xf numFmtId="175" fontId="95" fillId="3" borderId="1" xfId="7" applyNumberFormat="1" applyFont="1" applyFill="1" applyBorder="1" applyAlignment="1">
      <alignment horizontal="center" vertical="center"/>
    </xf>
    <xf numFmtId="175" fontId="15" fillId="6" borderId="0" xfId="14" applyNumberFormat="1" applyFont="1" applyFill="1" applyBorder="1"/>
    <xf numFmtId="39" fontId="8" fillId="3" borderId="1" xfId="14" applyNumberFormat="1" applyFont="1" applyFill="1" applyBorder="1" applyAlignment="1">
      <alignment horizontal="center" vertical="center" wrapText="1" readingOrder="1"/>
    </xf>
    <xf numFmtId="10" fontId="39" fillId="5" borderId="1" xfId="17" applyNumberFormat="1" applyFont="1" applyFill="1" applyBorder="1" applyAlignment="1">
      <alignment horizontal="center" vertical="center"/>
    </xf>
    <xf numFmtId="10" fontId="76" fillId="3" borderId="0" xfId="14" applyNumberFormat="1" applyFont="1" applyFill="1" applyBorder="1" applyAlignment="1">
      <alignment horizontal="center" vertical="center"/>
    </xf>
    <xf numFmtId="0" fontId="21" fillId="17" borderId="1" xfId="14" applyNumberFormat="1" applyFont="1" applyFill="1" applyBorder="1" applyAlignment="1">
      <alignment horizontal="left" vertical="center" wrapText="1" readingOrder="1"/>
    </xf>
    <xf numFmtId="0" fontId="21" fillId="0" borderId="1" xfId="14" applyFont="1" applyFill="1" applyBorder="1" applyAlignment="1">
      <alignment horizontal="center" vertical="center"/>
    </xf>
    <xf numFmtId="176" fontId="17" fillId="0" borderId="0" xfId="14" applyNumberFormat="1" applyFont="1" applyFill="1" applyBorder="1"/>
    <xf numFmtId="39" fontId="69" fillId="3" borderId="1" xfId="14" applyNumberFormat="1" applyFont="1" applyFill="1" applyBorder="1" applyAlignment="1">
      <alignment horizontal="right" vertical="center"/>
    </xf>
    <xf numFmtId="39" fontId="69" fillId="3" borderId="1" xfId="14" applyNumberFormat="1" applyFont="1" applyFill="1" applyBorder="1" applyAlignment="1">
      <alignment horizontal="center" vertical="center"/>
    </xf>
    <xf numFmtId="39" fontId="20" fillId="21" borderId="1" xfId="14" applyNumberFormat="1" applyFont="1" applyFill="1" applyBorder="1" applyAlignment="1">
      <alignment horizontal="right" vertical="center" readingOrder="1"/>
    </xf>
    <xf numFmtId="39" fontId="45" fillId="21" borderId="1" xfId="14" applyNumberFormat="1" applyFont="1" applyFill="1" applyBorder="1" applyAlignment="1">
      <alignment vertical="center" wrapText="1" readingOrder="1"/>
    </xf>
    <xf numFmtId="168" fontId="17" fillId="0" borderId="0" xfId="14" applyNumberFormat="1" applyFont="1" applyFill="1" applyBorder="1"/>
    <xf numFmtId="39" fontId="8" fillId="3" borderId="1" xfId="14" applyNumberFormat="1" applyFont="1" applyFill="1" applyBorder="1" applyAlignment="1">
      <alignment vertical="center" wrapText="1" readingOrder="1"/>
    </xf>
    <xf numFmtId="166" fontId="96" fillId="0" borderId="0" xfId="0" applyNumberFormat="1" applyFont="1" applyAlignment="1">
      <alignment vertical="center"/>
    </xf>
    <xf numFmtId="39" fontId="39" fillId="5" borderId="1" xfId="14" applyNumberFormat="1" applyFont="1" applyFill="1" applyBorder="1" applyAlignment="1">
      <alignment horizontal="left" vertical="center" wrapText="1" readingOrder="1"/>
    </xf>
    <xf numFmtId="10" fontId="17" fillId="3" borderId="0" xfId="14" applyNumberFormat="1" applyFont="1" applyFill="1" applyBorder="1" applyAlignment="1">
      <alignment horizontal="center" vertical="center" wrapText="1"/>
    </xf>
    <xf numFmtId="0" fontId="21" fillId="3" borderId="1" xfId="14" applyFont="1" applyFill="1" applyBorder="1"/>
    <xf numFmtId="39" fontId="21" fillId="24" borderId="1" xfId="14" applyNumberFormat="1" applyFont="1" applyFill="1" applyBorder="1" applyAlignment="1">
      <alignment horizontal="right" vertical="center"/>
    </xf>
    <xf numFmtId="0" fontId="18" fillId="0" borderId="0" xfId="14" applyFont="1" applyFill="1" applyBorder="1"/>
    <xf numFmtId="0" fontId="17" fillId="0" borderId="0" xfId="14" applyFont="1" applyFill="1" applyBorder="1" applyAlignment="1">
      <alignment horizontal="center" vertical="center"/>
    </xf>
    <xf numFmtId="0" fontId="10" fillId="25" borderId="1" xfId="14" applyNumberFormat="1" applyFont="1" applyFill="1" applyBorder="1" applyAlignment="1">
      <alignment horizontal="left" vertical="center" wrapText="1" readingOrder="1"/>
    </xf>
    <xf numFmtId="178" fontId="97" fillId="3" borderId="1" xfId="14" applyNumberFormat="1" applyFont="1" applyFill="1" applyBorder="1" applyAlignment="1">
      <alignment horizontal="right" vertical="center" wrapText="1" readingOrder="1"/>
    </xf>
    <xf numFmtId="10" fontId="21" fillId="3" borderId="1" xfId="17" applyNumberFormat="1" applyFont="1" applyFill="1" applyBorder="1" applyAlignment="1">
      <alignment horizontal="center" vertical="center" wrapText="1"/>
    </xf>
    <xf numFmtId="176" fontId="98" fillId="0" borderId="0" xfId="14" applyNumberFormat="1" applyFont="1" applyFill="1" applyBorder="1" applyAlignment="1">
      <alignment horizontal="right" vertical="center"/>
    </xf>
    <xf numFmtId="0" fontId="98" fillId="0" borderId="0" xfId="14" applyFont="1" applyFill="1" applyBorder="1"/>
    <xf numFmtId="168" fontId="18" fillId="0" borderId="0" xfId="14" applyNumberFormat="1" applyFont="1" applyFill="1" applyBorder="1" applyAlignment="1">
      <alignment horizontal="center" vertical="center"/>
    </xf>
    <xf numFmtId="175" fontId="89" fillId="3" borderId="1" xfId="7" applyNumberFormat="1" applyFont="1" applyFill="1" applyBorder="1" applyAlignment="1">
      <alignment horizontal="center" vertical="center"/>
    </xf>
    <xf numFmtId="39" fontId="21" fillId="4" borderId="1" xfId="14" applyNumberFormat="1" applyFont="1" applyFill="1" applyBorder="1" applyAlignment="1">
      <alignment horizontal="right" vertical="center" wrapText="1" readingOrder="1"/>
    </xf>
    <xf numFmtId="10" fontId="89" fillId="3" borderId="0" xfId="17" applyNumberFormat="1" applyFont="1" applyFill="1" applyBorder="1" applyAlignment="1">
      <alignment horizontal="center" vertical="center"/>
    </xf>
    <xf numFmtId="178" fontId="99" fillId="18" borderId="1" xfId="14" applyNumberFormat="1" applyFont="1" applyFill="1" applyBorder="1" applyAlignment="1">
      <alignment horizontal="right" vertical="center" wrapText="1" readingOrder="1"/>
    </xf>
    <xf numFmtId="176" fontId="100" fillId="0" borderId="0" xfId="14" applyNumberFormat="1" applyFont="1" applyFill="1" applyBorder="1"/>
    <xf numFmtId="0" fontId="100" fillId="0" borderId="0" xfId="14" applyFont="1" applyFill="1" applyBorder="1"/>
    <xf numFmtId="167" fontId="100" fillId="0" borderId="0" xfId="7" applyFont="1" applyFill="1" applyBorder="1" applyAlignment="1">
      <alignment horizontal="center" vertical="center"/>
    </xf>
    <xf numFmtId="168" fontId="101" fillId="0" borderId="0" xfId="14" applyNumberFormat="1" applyFont="1" applyFill="1" applyBorder="1" applyAlignment="1">
      <alignment horizontal="center" vertical="center"/>
    </xf>
    <xf numFmtId="0" fontId="76" fillId="0" borderId="0" xfId="14" applyFont="1" applyFill="1" applyBorder="1"/>
    <xf numFmtId="0" fontId="102" fillId="0" borderId="0" xfId="14" applyFont="1" applyFill="1" applyBorder="1"/>
    <xf numFmtId="0" fontId="102" fillId="0" borderId="0" xfId="14" applyFont="1" applyFill="1" applyBorder="1" applyAlignment="1">
      <alignment horizontal="center" vertical="center"/>
    </xf>
    <xf numFmtId="0" fontId="103" fillId="0" borderId="0" xfId="14" applyFont="1" applyFill="1" applyBorder="1" applyAlignment="1">
      <alignment horizontal="center" vertical="center"/>
    </xf>
    <xf numFmtId="168" fontId="104" fillId="0" borderId="0" xfId="14" applyNumberFormat="1" applyFont="1" applyFill="1" applyBorder="1" applyAlignment="1">
      <alignment horizontal="center" vertical="center"/>
    </xf>
    <xf numFmtId="39" fontId="19" fillId="3" borderId="1" xfId="14" applyNumberFormat="1" applyFont="1" applyFill="1" applyBorder="1" applyAlignment="1">
      <alignment horizontal="right" vertical="center" wrapText="1" readingOrder="1"/>
    </xf>
    <xf numFmtId="39" fontId="19" fillId="3" borderId="1" xfId="14" applyNumberFormat="1" applyFont="1" applyFill="1" applyBorder="1" applyAlignment="1">
      <alignment vertical="center" wrapText="1" readingOrder="1"/>
    </xf>
    <xf numFmtId="175" fontId="17" fillId="0" borderId="0" xfId="14" applyNumberFormat="1" applyFont="1" applyFill="1" applyBorder="1"/>
    <xf numFmtId="39" fontId="42" fillId="21" borderId="1" xfId="14" applyNumberFormat="1" applyFont="1" applyFill="1" applyBorder="1" applyAlignment="1">
      <alignment horizontal="right" vertical="center" wrapText="1" readingOrder="1"/>
    </xf>
    <xf numFmtId="39" fontId="39" fillId="5" borderId="1" xfId="14" applyNumberFormat="1" applyFont="1" applyFill="1" applyBorder="1" applyAlignment="1">
      <alignment horizontal="center" vertical="center" wrapText="1" readingOrder="1"/>
    </xf>
    <xf numFmtId="0" fontId="16" fillId="3" borderId="5" xfId="14" applyNumberFormat="1" applyFont="1" applyFill="1" applyBorder="1" applyAlignment="1">
      <alignment vertical="center" wrapText="1" readingOrder="1"/>
    </xf>
    <xf numFmtId="176" fontId="21" fillId="3" borderId="1" xfId="14" applyNumberFormat="1" applyFont="1" applyFill="1" applyBorder="1" applyAlignment="1">
      <alignment vertical="center" wrapText="1" readingOrder="1"/>
    </xf>
    <xf numFmtId="10" fontId="17" fillId="3" borderId="1" xfId="17" applyNumberFormat="1" applyFont="1" applyFill="1" applyBorder="1" applyAlignment="1">
      <alignment horizontal="center" vertical="center" wrapText="1"/>
    </xf>
    <xf numFmtId="178" fontId="89" fillId="5" borderId="1" xfId="14" applyNumberFormat="1" applyFont="1" applyFill="1" applyBorder="1"/>
    <xf numFmtId="0" fontId="21" fillId="3" borderId="1" xfId="14" applyNumberFormat="1" applyFont="1" applyFill="1" applyBorder="1" applyAlignment="1">
      <alignment horizontal="left" vertical="center" wrapText="1" readingOrder="1"/>
    </xf>
    <xf numFmtId="39" fontId="21" fillId="3" borderId="1" xfId="14" applyNumberFormat="1" applyFont="1" applyFill="1" applyBorder="1" applyAlignment="1">
      <alignment horizontal="center" vertical="center" wrapText="1"/>
    </xf>
    <xf numFmtId="0" fontId="17" fillId="3" borderId="1" xfId="14" applyFont="1" applyFill="1" applyBorder="1" applyAlignment="1">
      <alignment vertical="center" wrapText="1"/>
    </xf>
    <xf numFmtId="39" fontId="20" fillId="8" borderId="1" xfId="14" applyNumberFormat="1" applyFont="1" applyFill="1" applyBorder="1" applyAlignment="1">
      <alignment horizontal="right" vertical="center" wrapText="1" readingOrder="1"/>
    </xf>
    <xf numFmtId="39" fontId="44" fillId="8" borderId="1" xfId="14" applyNumberFormat="1" applyFont="1" applyFill="1" applyBorder="1" applyAlignment="1">
      <alignment horizontal="right" vertical="center" wrapText="1" readingOrder="1"/>
    </xf>
    <xf numFmtId="39" fontId="45" fillId="8" borderId="1" xfId="14" applyNumberFormat="1" applyFont="1" applyFill="1" applyBorder="1" applyAlignment="1">
      <alignment horizontal="right" vertical="center" wrapText="1" readingOrder="1"/>
    </xf>
    <xf numFmtId="39" fontId="39" fillId="18" borderId="1" xfId="14" applyNumberFormat="1" applyFont="1" applyFill="1" applyBorder="1" applyAlignment="1">
      <alignment horizontal="right" vertical="center" wrapText="1" readingOrder="1"/>
    </xf>
    <xf numFmtId="39" fontId="21" fillId="4" borderId="1" xfId="14" applyNumberFormat="1" applyFont="1" applyFill="1" applyBorder="1" applyAlignment="1">
      <alignment horizontal="right" vertical="center" wrapText="1"/>
    </xf>
    <xf numFmtId="39" fontId="21" fillId="3" borderId="1" xfId="14" applyNumberFormat="1" applyFont="1" applyFill="1" applyBorder="1" applyAlignment="1">
      <alignment horizontal="right" vertical="center" wrapText="1"/>
    </xf>
    <xf numFmtId="0" fontId="16" fillId="3" borderId="0" xfId="14" applyNumberFormat="1" applyFont="1" applyFill="1" applyBorder="1" applyAlignment="1">
      <alignment horizontal="center" vertical="center" wrapText="1" readingOrder="1"/>
    </xf>
    <xf numFmtId="178" fontId="97" fillId="3" borderId="1" xfId="14" applyNumberFormat="1" applyFont="1" applyFill="1" applyBorder="1" applyAlignment="1">
      <alignment horizontal="center" vertical="center" wrapText="1" readingOrder="1"/>
    </xf>
    <xf numFmtId="39" fontId="38" fillId="5" borderId="1" xfId="14" applyNumberFormat="1" applyFont="1" applyFill="1" applyBorder="1" applyAlignment="1">
      <alignment horizontal="right" vertical="center" wrapText="1" readingOrder="1"/>
    </xf>
    <xf numFmtId="39" fontId="38" fillId="21" borderId="1" xfId="14" applyNumberFormat="1" applyFont="1" applyFill="1" applyBorder="1" applyAlignment="1">
      <alignment horizontal="right" vertical="center" wrapText="1" readingOrder="1"/>
    </xf>
    <xf numFmtId="10" fontId="89" fillId="22" borderId="1" xfId="17" applyNumberFormat="1" applyFont="1" applyFill="1" applyBorder="1" applyAlignment="1">
      <alignment horizontal="center" vertical="center"/>
    </xf>
    <xf numFmtId="39" fontId="89" fillId="3" borderId="5" xfId="14" applyNumberFormat="1" applyFont="1" applyFill="1" applyBorder="1" applyAlignment="1">
      <alignment horizontal="right" vertical="center"/>
    </xf>
    <xf numFmtId="10" fontId="89" fillId="19" borderId="1" xfId="14" applyNumberFormat="1" applyFont="1" applyFill="1" applyBorder="1" applyAlignment="1">
      <alignment horizontal="center" vertical="center"/>
    </xf>
    <xf numFmtId="39" fontId="87" fillId="3" borderId="1" xfId="14" applyNumberFormat="1" applyFont="1" applyFill="1" applyBorder="1" applyAlignment="1">
      <alignment horizontal="right" vertical="center" wrapText="1" readingOrder="1"/>
    </xf>
    <xf numFmtId="39" fontId="10" fillId="3" borderId="1" xfId="14" applyNumberFormat="1" applyFont="1" applyFill="1" applyBorder="1" applyAlignment="1">
      <alignment horizontal="right" vertical="center" wrapText="1" readingOrder="1"/>
    </xf>
    <xf numFmtId="39" fontId="3" fillId="21" borderId="1" xfId="14" applyNumberFormat="1" applyFont="1" applyFill="1" applyBorder="1" applyAlignment="1">
      <alignment horizontal="right" vertical="center" wrapText="1" readingOrder="1"/>
    </xf>
    <xf numFmtId="39" fontId="19" fillId="4" borderId="1" xfId="14" applyNumberFormat="1" applyFont="1" applyFill="1" applyBorder="1" applyAlignment="1">
      <alignment horizontal="right" vertical="center" wrapText="1" readingOrder="1"/>
    </xf>
    <xf numFmtId="10" fontId="17" fillId="3" borderId="1" xfId="17" applyNumberFormat="1" applyFont="1" applyFill="1" applyBorder="1" applyAlignment="1">
      <alignment horizontal="center" vertical="center"/>
    </xf>
    <xf numFmtId="39" fontId="17" fillId="17" borderId="1" xfId="14" applyNumberFormat="1" applyFont="1" applyFill="1" applyBorder="1" applyAlignment="1">
      <alignment horizontal="right" vertical="center"/>
    </xf>
    <xf numFmtId="39" fontId="17" fillId="17" borderId="1" xfId="14" applyNumberFormat="1" applyFont="1" applyFill="1" applyBorder="1" applyAlignment="1">
      <alignment horizontal="center" vertical="center" wrapText="1"/>
    </xf>
    <xf numFmtId="39" fontId="17" fillId="3" borderId="5" xfId="14" applyNumberFormat="1" applyFont="1" applyFill="1" applyBorder="1" applyAlignment="1">
      <alignment horizontal="right" vertical="center"/>
    </xf>
    <xf numFmtId="10" fontId="17" fillId="0" borderId="1" xfId="14" applyNumberFormat="1" applyFont="1" applyFill="1" applyBorder="1" applyAlignment="1">
      <alignment horizontal="center" vertical="center"/>
    </xf>
    <xf numFmtId="10" fontId="95" fillId="3" borderId="0" xfId="14" applyNumberFormat="1" applyFont="1" applyFill="1" applyBorder="1" applyAlignment="1">
      <alignment horizontal="center" vertical="center"/>
    </xf>
    <xf numFmtId="0" fontId="8" fillId="5" borderId="21" xfId="14" applyNumberFormat="1" applyFont="1" applyFill="1" applyBorder="1" applyAlignment="1">
      <alignment horizontal="center" vertical="center" wrapText="1" readingOrder="1"/>
    </xf>
    <xf numFmtId="39" fontId="37" fillId="22" borderId="1" xfId="14" applyNumberFormat="1" applyFont="1" applyFill="1" applyBorder="1" applyAlignment="1">
      <alignment horizontal="right" vertical="center" wrapText="1" readingOrder="1"/>
    </xf>
    <xf numFmtId="39" fontId="3" fillId="5" borderId="1" xfId="14" applyNumberFormat="1" applyFont="1" applyFill="1" applyBorder="1" applyAlignment="1">
      <alignment horizontal="right" vertical="center" wrapText="1" readingOrder="1"/>
    </xf>
    <xf numFmtId="39" fontId="6" fillId="4" borderId="1" xfId="14" applyNumberFormat="1" applyFont="1" applyFill="1" applyBorder="1" applyAlignment="1">
      <alignment horizontal="right"/>
    </xf>
    <xf numFmtId="39" fontId="92" fillId="5" borderId="1" xfId="14" applyNumberFormat="1" applyFont="1" applyFill="1" applyBorder="1" applyAlignment="1">
      <alignment horizontal="right"/>
    </xf>
    <xf numFmtId="39" fontId="86" fillId="5" borderId="1" xfId="14" applyNumberFormat="1" applyFont="1" applyFill="1" applyBorder="1" applyAlignment="1">
      <alignment horizontal="right" vertical="center" wrapText="1" readingOrder="1"/>
    </xf>
    <xf numFmtId="39" fontId="9" fillId="5" borderId="1" xfId="14" applyNumberFormat="1" applyFont="1" applyFill="1" applyBorder="1" applyAlignment="1">
      <alignment horizontal="right" vertical="center" wrapText="1" readingOrder="1"/>
    </xf>
    <xf numFmtId="39" fontId="15" fillId="18" borderId="1" xfId="14" applyNumberFormat="1" applyFont="1" applyFill="1" applyBorder="1" applyAlignment="1">
      <alignment horizontal="right"/>
    </xf>
    <xf numFmtId="39" fontId="6" fillId="5" borderId="1" xfId="14" applyNumberFormat="1" applyFont="1" applyFill="1" applyBorder="1" applyAlignment="1">
      <alignment horizontal="center" vertical="center"/>
    </xf>
    <xf numFmtId="39" fontId="15" fillId="5" borderId="1" xfId="14" applyNumberFormat="1" applyFont="1" applyFill="1" applyBorder="1" applyAlignment="1">
      <alignment horizontal="right"/>
    </xf>
    <xf numFmtId="0" fontId="15" fillId="5" borderId="1" xfId="14" applyFont="1" applyFill="1" applyBorder="1" applyAlignment="1">
      <alignment horizontal="center" vertical="center" wrapText="1"/>
    </xf>
    <xf numFmtId="39" fontId="15" fillId="3" borderId="5" xfId="14" applyNumberFormat="1" applyFont="1" applyFill="1" applyBorder="1" applyAlignment="1">
      <alignment horizontal="right" vertical="center"/>
    </xf>
    <xf numFmtId="0" fontId="83" fillId="5" borderId="1" xfId="14" applyFont="1" applyFill="1" applyBorder="1"/>
    <xf numFmtId="39" fontId="15" fillId="5" borderId="1" xfId="14" applyNumberFormat="1" applyFont="1" applyFill="1" applyBorder="1" applyAlignment="1">
      <alignment horizontal="center" vertical="center" wrapText="1"/>
    </xf>
    <xf numFmtId="175" fontId="105" fillId="5" borderId="1" xfId="7" applyNumberFormat="1" applyFont="1" applyFill="1" applyBorder="1" applyAlignment="1">
      <alignment horizontal="center" vertical="center"/>
    </xf>
    <xf numFmtId="175" fontId="18" fillId="5" borderId="1" xfId="7" applyNumberFormat="1" applyFont="1" applyFill="1" applyBorder="1" applyAlignment="1">
      <alignment horizontal="center" vertical="center"/>
    </xf>
    <xf numFmtId="0" fontId="6" fillId="4" borderId="1" xfId="14" applyFont="1" applyFill="1" applyBorder="1" applyAlignment="1">
      <alignment horizontal="right"/>
    </xf>
    <xf numFmtId="0" fontId="92" fillId="5" borderId="1" xfId="14" applyFont="1" applyFill="1" applyBorder="1" applyAlignment="1">
      <alignment horizontal="right"/>
    </xf>
    <xf numFmtId="176" fontId="92" fillId="5" borderId="1" xfId="14" applyNumberFormat="1" applyFont="1" applyFill="1" applyBorder="1" applyAlignment="1">
      <alignment horizontal="right"/>
    </xf>
    <xf numFmtId="0" fontId="15" fillId="18" borderId="1" xfId="14" applyFont="1" applyFill="1" applyBorder="1" applyAlignment="1">
      <alignment horizontal="right"/>
    </xf>
    <xf numFmtId="0" fontId="6" fillId="5" borderId="1" xfId="14" applyFont="1" applyFill="1" applyBorder="1" applyAlignment="1">
      <alignment horizontal="center" vertical="center"/>
    </xf>
    <xf numFmtId="0" fontId="15" fillId="5" borderId="1" xfId="14" applyFont="1" applyFill="1" applyBorder="1" applyAlignment="1">
      <alignment horizontal="right"/>
    </xf>
    <xf numFmtId="0" fontId="15" fillId="5" borderId="1" xfId="14" applyFont="1" applyFill="1" applyBorder="1" applyAlignment="1">
      <alignment horizontal="center" vertical="center"/>
    </xf>
    <xf numFmtId="0" fontId="15" fillId="3" borderId="0" xfId="14" applyFont="1" applyFill="1" applyBorder="1" applyAlignment="1">
      <alignment horizontal="center" vertical="center"/>
    </xf>
    <xf numFmtId="0" fontId="106" fillId="26" borderId="21" xfId="14" applyNumberFormat="1" applyFont="1" applyFill="1" applyBorder="1" applyAlignment="1">
      <alignment horizontal="center" vertical="center" wrapText="1" readingOrder="1"/>
    </xf>
    <xf numFmtId="0" fontId="106" fillId="26" borderId="1" xfId="14" applyNumberFormat="1" applyFont="1" applyFill="1" applyBorder="1" applyAlignment="1">
      <alignment horizontal="center" vertical="center" wrapText="1" readingOrder="1"/>
    </xf>
    <xf numFmtId="0" fontId="10" fillId="26" borderId="1" xfId="14" applyNumberFormat="1" applyFont="1" applyFill="1" applyBorder="1" applyAlignment="1">
      <alignment horizontal="left" vertical="center" wrapText="1" readingOrder="1"/>
    </xf>
    <xf numFmtId="39" fontId="87" fillId="26" borderId="1" xfId="14" applyNumberFormat="1" applyFont="1" applyFill="1" applyBorder="1" applyAlignment="1">
      <alignment horizontal="right" vertical="center" wrapText="1" readingOrder="1"/>
    </xf>
    <xf numFmtId="39" fontId="10" fillId="26" borderId="1" xfId="14" applyNumberFormat="1" applyFont="1" applyFill="1" applyBorder="1" applyAlignment="1">
      <alignment horizontal="right" vertical="center" wrapText="1" readingOrder="1"/>
    </xf>
    <xf numFmtId="39" fontId="10" fillId="4" borderId="1" xfId="14" applyNumberFormat="1" applyFont="1" applyFill="1" applyBorder="1" applyAlignment="1">
      <alignment horizontal="right" vertical="center" wrapText="1" readingOrder="1"/>
    </xf>
    <xf numFmtId="39" fontId="90" fillId="26" borderId="1" xfId="14" applyNumberFormat="1" applyFont="1" applyFill="1" applyBorder="1" applyAlignment="1">
      <alignment horizontal="right" vertical="center" wrapText="1" readingOrder="1"/>
    </xf>
    <xf numFmtId="39" fontId="90" fillId="26" borderId="1" xfId="14" applyNumberFormat="1" applyFont="1" applyFill="1" applyBorder="1" applyAlignment="1">
      <alignment horizontal="right" vertical="center" wrapText="1"/>
    </xf>
    <xf numFmtId="39" fontId="87" fillId="3" borderId="1" xfId="14" applyNumberFormat="1" applyFont="1" applyFill="1" applyBorder="1" applyAlignment="1">
      <alignment horizontal="right" vertical="center" wrapText="1"/>
    </xf>
    <xf numFmtId="10" fontId="17" fillId="26" borderId="1" xfId="17" applyNumberFormat="1" applyFont="1" applyFill="1" applyBorder="1" applyAlignment="1">
      <alignment horizontal="center" vertical="center"/>
    </xf>
    <xf numFmtId="39" fontId="17" fillId="26" borderId="1" xfId="14" applyNumberFormat="1" applyFont="1" applyFill="1" applyBorder="1" applyAlignment="1">
      <alignment horizontal="right" vertical="center"/>
    </xf>
    <xf numFmtId="39" fontId="17" fillId="26" borderId="1" xfId="14" applyNumberFormat="1" applyFont="1" applyFill="1" applyBorder="1" applyAlignment="1">
      <alignment horizontal="center" vertical="center" wrapText="1"/>
    </xf>
    <xf numFmtId="39" fontId="17" fillId="26" borderId="5" xfId="14" applyNumberFormat="1" applyFont="1" applyFill="1" applyBorder="1" applyAlignment="1">
      <alignment horizontal="right" vertical="center"/>
    </xf>
    <xf numFmtId="10" fontId="17" fillId="26" borderId="1" xfId="14" applyNumberFormat="1" applyFont="1" applyFill="1" applyBorder="1" applyAlignment="1">
      <alignment horizontal="center" vertical="center"/>
    </xf>
    <xf numFmtId="0" fontId="83" fillId="26" borderId="1" xfId="14" applyFont="1" applyFill="1" applyBorder="1"/>
    <xf numFmtId="0" fontId="6" fillId="26" borderId="1" xfId="14" applyFont="1" applyFill="1" applyBorder="1" applyAlignment="1">
      <alignment horizontal="center" vertical="center" wrapText="1"/>
    </xf>
    <xf numFmtId="175" fontId="18" fillId="26" borderId="1" xfId="7" applyNumberFormat="1" applyFont="1" applyFill="1" applyBorder="1" applyAlignment="1">
      <alignment horizontal="center" vertical="center"/>
    </xf>
    <xf numFmtId="167" fontId="17" fillId="26" borderId="0" xfId="14" applyNumberFormat="1" applyFont="1" applyFill="1" applyBorder="1"/>
    <xf numFmtId="0" fontId="6" fillId="26" borderId="0" xfId="14" applyFont="1" applyFill="1" applyBorder="1"/>
    <xf numFmtId="0" fontId="69" fillId="26" borderId="0" xfId="14" applyFont="1" applyFill="1" applyBorder="1" applyAlignment="1">
      <alignment horizontal="center" vertical="center"/>
    </xf>
    <xf numFmtId="0" fontId="106" fillId="3" borderId="21" xfId="14" applyNumberFormat="1" applyFont="1" applyFill="1" applyBorder="1" applyAlignment="1">
      <alignment horizontal="center" vertical="center" wrapText="1" readingOrder="1"/>
    </xf>
    <xf numFmtId="39" fontId="10" fillId="4" borderId="1" xfId="14" applyNumberFormat="1" applyFont="1" applyFill="1" applyBorder="1" applyAlignment="1">
      <alignment horizontal="right" vertical="center" wrapText="1"/>
    </xf>
    <xf numFmtId="39" fontId="90" fillId="3" borderId="1" xfId="14" applyNumberFormat="1" applyFont="1" applyFill="1" applyBorder="1" applyAlignment="1">
      <alignment horizontal="right" vertical="center" wrapText="1"/>
    </xf>
    <xf numFmtId="39" fontId="90" fillId="3" borderId="1" xfId="14" applyNumberFormat="1" applyFont="1" applyFill="1" applyBorder="1" applyAlignment="1">
      <alignment horizontal="right" vertical="center" wrapText="1" readingOrder="1"/>
    </xf>
    <xf numFmtId="39" fontId="10" fillId="3" borderId="1" xfId="14" applyNumberFormat="1" applyFont="1" applyFill="1" applyBorder="1" applyAlignment="1">
      <alignment horizontal="center" vertical="center" wrapText="1"/>
    </xf>
    <xf numFmtId="39" fontId="10" fillId="3" borderId="1" xfId="14" applyNumberFormat="1" applyFont="1" applyFill="1" applyBorder="1" applyAlignment="1">
      <alignment horizontal="right" vertical="center" wrapText="1"/>
    </xf>
    <xf numFmtId="39" fontId="7" fillId="3" borderId="1" xfId="14" applyNumberFormat="1" applyFont="1" applyFill="1" applyBorder="1" applyAlignment="1">
      <alignment horizontal="center" vertical="center" wrapText="1"/>
    </xf>
    <xf numFmtId="39" fontId="107" fillId="3" borderId="5" xfId="14" applyNumberFormat="1" applyFont="1" applyFill="1" applyBorder="1" applyAlignment="1">
      <alignment horizontal="right" vertical="center"/>
    </xf>
    <xf numFmtId="0" fontId="6" fillId="3" borderId="1" xfId="14" applyFont="1" applyFill="1" applyBorder="1" applyAlignment="1">
      <alignment horizontal="center" vertical="center"/>
    </xf>
    <xf numFmtId="0" fontId="6" fillId="3" borderId="1" xfId="14" applyFont="1" applyFill="1" applyBorder="1" applyAlignment="1">
      <alignment horizontal="center" vertical="center" wrapText="1"/>
    </xf>
    <xf numFmtId="0" fontId="6" fillId="3" borderId="0" xfId="14" applyFont="1" applyFill="1" applyBorder="1"/>
    <xf numFmtId="0" fontId="11" fillId="0" borderId="21" xfId="14" applyNumberFormat="1" applyFont="1" applyFill="1" applyBorder="1" applyAlignment="1">
      <alignment horizontal="center" vertical="center" wrapText="1" readingOrder="1"/>
    </xf>
    <xf numFmtId="39" fontId="8" fillId="0" borderId="1" xfId="14" applyNumberFormat="1" applyFont="1" applyFill="1" applyBorder="1" applyAlignment="1">
      <alignment horizontal="right" vertical="center" wrapText="1" readingOrder="1"/>
    </xf>
    <xf numFmtId="39" fontId="10" fillId="0" borderId="1" xfId="14" applyNumberFormat="1" applyFont="1" applyFill="1" applyBorder="1" applyAlignment="1">
      <alignment horizontal="right" vertical="center" wrapText="1" readingOrder="1"/>
    </xf>
    <xf numFmtId="0" fontId="7" fillId="0" borderId="1" xfId="14" applyFont="1" applyFill="1" applyBorder="1" applyAlignment="1">
      <alignment horizontal="center" vertical="center" wrapText="1"/>
    </xf>
    <xf numFmtId="0" fontId="6" fillId="0" borderId="1" xfId="14" applyFont="1" applyFill="1" applyBorder="1" applyAlignment="1">
      <alignment horizontal="center" vertical="center"/>
    </xf>
    <xf numFmtId="175" fontId="18" fillId="0" borderId="1" xfId="7" applyNumberFormat="1" applyFont="1" applyFill="1" applyBorder="1" applyAlignment="1">
      <alignment horizontal="center" vertical="center"/>
    </xf>
    <xf numFmtId="171" fontId="106" fillId="26" borderId="1" xfId="14" applyNumberFormat="1" applyFont="1" applyFill="1" applyBorder="1" applyAlignment="1">
      <alignment horizontal="center" vertical="center" wrapText="1" readingOrder="1"/>
    </xf>
    <xf numFmtId="39" fontId="10" fillId="26" borderId="1" xfId="14" applyNumberFormat="1" applyFont="1" applyFill="1" applyBorder="1" applyAlignment="1">
      <alignment horizontal="right" vertical="center" wrapText="1"/>
    </xf>
    <xf numFmtId="39" fontId="87" fillId="26" borderId="1" xfId="14" applyNumberFormat="1" applyFont="1" applyFill="1" applyBorder="1" applyAlignment="1">
      <alignment horizontal="right" vertical="center" wrapText="1"/>
    </xf>
    <xf numFmtId="39" fontId="10" fillId="26" borderId="1" xfId="14" applyNumberFormat="1" applyFont="1" applyFill="1" applyBorder="1" applyAlignment="1">
      <alignment horizontal="center" vertical="center" wrapText="1"/>
    </xf>
    <xf numFmtId="0" fontId="7" fillId="26" borderId="1" xfId="14" applyFont="1" applyFill="1" applyBorder="1" applyAlignment="1">
      <alignment horizontal="center" vertical="center" wrapText="1"/>
    </xf>
    <xf numFmtId="0" fontId="6" fillId="26" borderId="1" xfId="14" applyFont="1" applyFill="1" applyBorder="1" applyAlignment="1">
      <alignment horizontal="center" vertical="center"/>
    </xf>
    <xf numFmtId="0" fontId="17" fillId="26" borderId="0" xfId="14" applyFont="1" applyFill="1" applyBorder="1"/>
    <xf numFmtId="0" fontId="9" fillId="27" borderId="1" xfId="14" applyNumberFormat="1" applyFont="1" applyFill="1" applyBorder="1" applyAlignment="1">
      <alignment horizontal="center" vertical="center" wrapText="1" readingOrder="1"/>
    </xf>
    <xf numFmtId="1" fontId="9" fillId="27" borderId="1" xfId="14" applyNumberFormat="1" applyFont="1" applyFill="1" applyBorder="1" applyAlignment="1">
      <alignment horizontal="center" vertical="center" wrapText="1" readingOrder="1"/>
    </xf>
    <xf numFmtId="39" fontId="87" fillId="27" borderId="1" xfId="14" applyNumberFormat="1" applyFont="1" applyFill="1" applyBorder="1" applyAlignment="1">
      <alignment horizontal="right" vertical="center" wrapText="1" readingOrder="1"/>
    </xf>
    <xf numFmtId="39" fontId="90" fillId="28" borderId="1" xfId="14" applyNumberFormat="1" applyFont="1" applyFill="1" applyBorder="1" applyAlignment="1">
      <alignment horizontal="right" vertical="center" wrapText="1" readingOrder="1"/>
    </xf>
    <xf numFmtId="10" fontId="14" fillId="3" borderId="0" xfId="14" applyNumberFormat="1" applyFont="1" applyFill="1" applyBorder="1" applyAlignment="1">
      <alignment horizontal="center" vertical="center"/>
    </xf>
    <xf numFmtId="10" fontId="6" fillId="3" borderId="1" xfId="14" applyNumberFormat="1" applyFont="1" applyFill="1" applyBorder="1" applyAlignment="1">
      <alignment horizontal="center" vertical="center" wrapText="1"/>
    </xf>
    <xf numFmtId="49" fontId="108" fillId="27" borderId="1" xfId="14" applyNumberFormat="1" applyFont="1" applyFill="1" applyBorder="1" applyAlignment="1">
      <alignment horizontal="center" vertical="center" wrapText="1" readingOrder="1"/>
    </xf>
    <xf numFmtId="0" fontId="108" fillId="27" borderId="1" xfId="14" applyNumberFormat="1" applyFont="1" applyFill="1" applyBorder="1" applyAlignment="1">
      <alignment horizontal="center" vertical="center" wrapText="1" readingOrder="1"/>
    </xf>
    <xf numFmtId="39" fontId="90" fillId="4" borderId="1" xfId="14" applyNumberFormat="1" applyFont="1" applyFill="1" applyBorder="1" applyAlignment="1">
      <alignment horizontal="right" vertical="center" wrapText="1"/>
    </xf>
    <xf numFmtId="39" fontId="17" fillId="9" borderId="1" xfId="14" applyNumberFormat="1" applyFont="1" applyFill="1" applyBorder="1" applyAlignment="1">
      <alignment horizontal="right" vertical="center"/>
    </xf>
    <xf numFmtId="39" fontId="17" fillId="9" borderId="1" xfId="14" applyNumberFormat="1" applyFont="1" applyFill="1" applyBorder="1" applyAlignment="1">
      <alignment horizontal="center" vertical="center" wrapText="1"/>
    </xf>
    <xf numFmtId="39" fontId="17" fillId="9" borderId="5" xfId="14" applyNumberFormat="1" applyFont="1" applyFill="1" applyBorder="1" applyAlignment="1">
      <alignment horizontal="right" vertical="center"/>
    </xf>
    <xf numFmtId="179" fontId="14" fillId="3" borderId="0" xfId="14" applyNumberFormat="1" applyFont="1" applyFill="1" applyBorder="1" applyAlignment="1">
      <alignment horizontal="center" vertical="center"/>
    </xf>
    <xf numFmtId="179" fontId="7" fillId="3" borderId="1" xfId="14" applyNumberFormat="1" applyFont="1" applyFill="1" applyBorder="1" applyAlignment="1">
      <alignment horizontal="center" vertical="center" wrapText="1"/>
    </xf>
    <xf numFmtId="10" fontId="7" fillId="3" borderId="1" xfId="14" applyNumberFormat="1" applyFont="1" applyFill="1" applyBorder="1" applyAlignment="1">
      <alignment horizontal="center" vertical="center" wrapText="1"/>
    </xf>
    <xf numFmtId="0" fontId="109" fillId="26" borderId="1" xfId="14" applyFont="1" applyFill="1" applyBorder="1" applyAlignment="1">
      <alignment horizontal="center" vertical="center" wrapText="1"/>
    </xf>
    <xf numFmtId="0" fontId="109" fillId="26" borderId="0" xfId="14" applyFont="1" applyFill="1" applyBorder="1"/>
    <xf numFmtId="0" fontId="110" fillId="0" borderId="21" xfId="14" applyNumberFormat="1" applyFont="1" applyFill="1" applyBorder="1" applyAlignment="1">
      <alignment horizontal="center" vertical="center" wrapText="1" readingOrder="1"/>
    </xf>
    <xf numFmtId="0" fontId="110" fillId="0" borderId="1" xfId="14" applyNumberFormat="1" applyFont="1" applyFill="1" applyBorder="1" applyAlignment="1">
      <alignment horizontal="center" vertical="center" wrapText="1" readingOrder="1"/>
    </xf>
    <xf numFmtId="4" fontId="10" fillId="0" borderId="1" xfId="14" applyNumberFormat="1" applyFont="1" applyFill="1" applyBorder="1" applyAlignment="1" applyProtection="1">
      <alignment horizontal="center" vertical="center"/>
    </xf>
    <xf numFmtId="39" fontId="7" fillId="0" borderId="1" xfId="14" applyNumberFormat="1" applyFont="1" applyFill="1" applyBorder="1"/>
    <xf numFmtId="39" fontId="7" fillId="4" borderId="1" xfId="14" applyNumberFormat="1" applyFont="1" applyFill="1" applyBorder="1" applyAlignment="1">
      <alignment horizontal="center" vertical="center"/>
    </xf>
    <xf numFmtId="39" fontId="7" fillId="29" borderId="1" xfId="14" applyNumberFormat="1" applyFont="1" applyFill="1" applyBorder="1" applyAlignment="1">
      <alignment horizontal="right"/>
    </xf>
    <xf numFmtId="39" fontId="7" fillId="29" borderId="1" xfId="14" applyNumberFormat="1" applyFont="1" applyFill="1" applyBorder="1"/>
    <xf numFmtId="39" fontId="10" fillId="29" borderId="1" xfId="14" applyNumberFormat="1" applyFont="1" applyFill="1" applyBorder="1" applyAlignment="1">
      <alignment horizontal="right" vertical="center" wrapText="1"/>
    </xf>
    <xf numFmtId="39" fontId="102" fillId="3" borderId="1" xfId="14" applyNumberFormat="1" applyFont="1" applyFill="1" applyBorder="1" applyAlignment="1">
      <alignment horizontal="right"/>
    </xf>
    <xf numFmtId="39" fontId="7" fillId="29" borderId="1" xfId="14" applyNumberFormat="1" applyFont="1" applyFill="1" applyBorder="1" applyAlignment="1">
      <alignment horizontal="center" vertical="center"/>
    </xf>
    <xf numFmtId="39" fontId="111" fillId="29" borderId="1" xfId="14" applyNumberFormat="1" applyFont="1" applyFill="1" applyBorder="1" applyAlignment="1">
      <alignment horizontal="right"/>
    </xf>
    <xf numFmtId="39" fontId="7" fillId="23" borderId="1" xfId="14" applyNumberFormat="1" applyFont="1" applyFill="1" applyBorder="1" applyAlignment="1">
      <alignment wrapText="1"/>
    </xf>
    <xf numFmtId="0" fontId="109" fillId="0" borderId="5" xfId="14" applyFont="1" applyFill="1" applyBorder="1"/>
    <xf numFmtId="0" fontId="109" fillId="0" borderId="1" xfId="14" applyFont="1" applyFill="1" applyBorder="1" applyAlignment="1">
      <alignment horizontal="center" vertical="center"/>
    </xf>
    <xf numFmtId="0" fontId="109" fillId="3" borderId="0" xfId="14" applyFont="1" applyFill="1" applyBorder="1" applyAlignment="1">
      <alignment horizontal="center" vertical="center"/>
    </xf>
    <xf numFmtId="0" fontId="109" fillId="0" borderId="0" xfId="14" applyFont="1" applyFill="1" applyBorder="1"/>
    <xf numFmtId="10" fontId="6" fillId="0" borderId="8" xfId="14" applyNumberFormat="1" applyFont="1" applyFill="1" applyBorder="1" applyAlignment="1">
      <alignment horizontal="center" vertical="center" wrapText="1"/>
    </xf>
    <xf numFmtId="175" fontId="17" fillId="0" borderId="1" xfId="7" applyNumberFormat="1" applyFont="1" applyFill="1" applyBorder="1" applyAlignment="1">
      <alignment horizontal="center" vertical="center"/>
    </xf>
    <xf numFmtId="4" fontId="3" fillId="0" borderId="0" xfId="14" applyNumberFormat="1" applyFont="1" applyFill="1" applyBorder="1" applyAlignment="1" applyProtection="1">
      <alignment horizontal="center"/>
    </xf>
    <xf numFmtId="0" fontId="6" fillId="0" borderId="2" xfId="14" applyFont="1" applyFill="1" applyBorder="1"/>
    <xf numFmtId="0" fontId="7" fillId="0" borderId="0" xfId="14" applyFont="1" applyFill="1" applyBorder="1"/>
    <xf numFmtId="39" fontId="7" fillId="0" borderId="0" xfId="14" applyNumberFormat="1" applyFont="1" applyFill="1" applyBorder="1"/>
    <xf numFmtId="0" fontId="7" fillId="3" borderId="0" xfId="14" applyFont="1" applyFill="1" applyBorder="1"/>
    <xf numFmtId="0" fontId="7" fillId="4" borderId="4" xfId="14" applyFont="1" applyFill="1" applyBorder="1"/>
    <xf numFmtId="0" fontId="7" fillId="0" borderId="4" xfId="14" applyFont="1" applyFill="1" applyBorder="1"/>
    <xf numFmtId="0" fontId="7" fillId="20" borderId="0" xfId="14" applyFont="1" applyFill="1" applyBorder="1"/>
    <xf numFmtId="176" fontId="7" fillId="0" borderId="4" xfId="14" applyNumberFormat="1" applyFont="1" applyFill="1" applyBorder="1"/>
    <xf numFmtId="0" fontId="102" fillId="3" borderId="4" xfId="14" applyFont="1" applyFill="1" applyBorder="1"/>
    <xf numFmtId="0" fontId="7" fillId="0" borderId="4" xfId="14" applyFont="1" applyFill="1" applyBorder="1" applyAlignment="1">
      <alignment horizontal="center" vertical="center"/>
    </xf>
    <xf numFmtId="0" fontId="7" fillId="0" borderId="9" xfId="14" applyFont="1" applyFill="1" applyBorder="1" applyAlignment="1">
      <alignment horizontal="center" vertical="center" wrapText="1"/>
    </xf>
    <xf numFmtId="0" fontId="109" fillId="0" borderId="0" xfId="14" applyFont="1" applyFill="1" applyBorder="1" applyAlignment="1">
      <alignment horizontal="center" vertical="center"/>
    </xf>
    <xf numFmtId="0" fontId="112" fillId="4" borderId="12" xfId="14" applyFont="1" applyFill="1" applyBorder="1" applyAlignment="1">
      <alignment vertical="center"/>
    </xf>
    <xf numFmtId="0" fontId="112" fillId="4" borderId="1" xfId="14" applyFont="1" applyFill="1" applyBorder="1" applyAlignment="1">
      <alignment vertical="center"/>
    </xf>
    <xf numFmtId="4" fontId="3" fillId="3" borderId="0" xfId="14" applyNumberFormat="1" applyFont="1" applyFill="1" applyBorder="1" applyAlignment="1" applyProtection="1">
      <alignment horizontal="center"/>
    </xf>
    <xf numFmtId="39" fontId="7" fillId="3" borderId="0" xfId="14" applyNumberFormat="1" applyFont="1" applyFill="1" applyBorder="1"/>
    <xf numFmtId="39" fontId="7" fillId="4" borderId="9" xfId="14" applyNumberFormat="1" applyFont="1" applyFill="1" applyBorder="1" applyAlignment="1">
      <alignment horizontal="center" vertical="center" wrapText="1"/>
    </xf>
    <xf numFmtId="0" fontId="10" fillId="4" borderId="9" xfId="14" applyNumberFormat="1" applyFont="1" applyFill="1" applyBorder="1" applyAlignment="1">
      <alignment horizontal="center" vertical="center" wrapText="1" readingOrder="1"/>
    </xf>
    <xf numFmtId="0" fontId="10" fillId="4" borderId="4" xfId="14" applyNumberFormat="1" applyFont="1" applyFill="1" applyBorder="1" applyAlignment="1">
      <alignment horizontal="center" vertical="center" wrapText="1" readingOrder="1"/>
    </xf>
    <xf numFmtId="39" fontId="7" fillId="4" borderId="4" xfId="14" applyNumberFormat="1" applyFont="1" applyFill="1" applyBorder="1" applyAlignment="1">
      <alignment horizontal="center" vertical="center" wrapText="1"/>
    </xf>
    <xf numFmtId="0" fontId="7" fillId="4" borderId="4" xfId="14" applyFont="1" applyFill="1" applyBorder="1" applyAlignment="1">
      <alignment horizontal="center" vertical="center" wrapText="1"/>
    </xf>
    <xf numFmtId="0" fontId="113" fillId="4" borderId="6" xfId="0" applyFont="1" applyFill="1" applyBorder="1" applyAlignment="1">
      <alignment horizontal="center" vertical="center" wrapText="1"/>
    </xf>
    <xf numFmtId="4" fontId="10" fillId="3" borderId="0" xfId="14" applyNumberFormat="1" applyFont="1" applyFill="1" applyBorder="1" applyAlignment="1" applyProtection="1">
      <alignment horizontal="center" vertical="center"/>
    </xf>
    <xf numFmtId="0" fontId="102" fillId="4" borderId="0" xfId="14" applyFont="1" applyFill="1" applyBorder="1" applyAlignment="1">
      <alignment horizontal="center" vertical="center"/>
    </xf>
    <xf numFmtId="0" fontId="7" fillId="3" borderId="0" xfId="14" applyFont="1" applyFill="1" applyBorder="1" applyAlignment="1">
      <alignment horizontal="center" vertical="center"/>
    </xf>
    <xf numFmtId="0" fontId="10" fillId="3" borderId="0" xfId="14" applyNumberFormat="1" applyFont="1" applyFill="1" applyBorder="1" applyAlignment="1">
      <alignment horizontal="center" vertical="center" wrapText="1" readingOrder="1"/>
    </xf>
    <xf numFmtId="39" fontId="104" fillId="3" borderId="1" xfId="14" applyNumberFormat="1" applyFont="1" applyFill="1" applyBorder="1" applyAlignment="1">
      <alignment horizontal="center" vertical="center"/>
    </xf>
    <xf numFmtId="10" fontId="19" fillId="30" borderId="1" xfId="17" applyNumberFormat="1" applyFont="1" applyFill="1" applyBorder="1" applyAlignment="1">
      <alignment horizontal="center" vertical="center"/>
    </xf>
    <xf numFmtId="39" fontId="19" fillId="30" borderId="1" xfId="14" applyNumberFormat="1" applyFont="1" applyFill="1" applyBorder="1" applyAlignment="1">
      <alignment horizontal="right" vertical="center"/>
    </xf>
    <xf numFmtId="39" fontId="19" fillId="30" borderId="1" xfId="14" applyNumberFormat="1" applyFont="1" applyFill="1" applyBorder="1" applyAlignment="1">
      <alignment horizontal="center" vertical="center" wrapText="1"/>
    </xf>
    <xf numFmtId="39" fontId="19" fillId="30" borderId="5" xfId="14" applyNumberFormat="1" applyFont="1" applyFill="1" applyBorder="1" applyAlignment="1">
      <alignment horizontal="right" vertical="center"/>
    </xf>
    <xf numFmtId="10" fontId="19" fillId="30" borderId="1" xfId="14" applyNumberFormat="1" applyFont="1" applyFill="1" applyBorder="1" applyAlignment="1">
      <alignment horizontal="center" vertical="center"/>
    </xf>
    <xf numFmtId="10" fontId="7" fillId="3" borderId="0" xfId="14" applyNumberFormat="1" applyFont="1" applyFill="1" applyBorder="1" applyAlignment="1">
      <alignment horizontal="center" vertical="center"/>
    </xf>
    <xf numFmtId="4" fontId="3" fillId="3" borderId="0" xfId="14" applyNumberFormat="1" applyFont="1" applyFill="1" applyBorder="1" applyAlignment="1" applyProtection="1">
      <alignment horizontal="left" vertical="center" wrapText="1"/>
    </xf>
    <xf numFmtId="39" fontId="6" fillId="0" borderId="12" xfId="14" applyNumberFormat="1" applyFont="1" applyFill="1" applyBorder="1"/>
    <xf numFmtId="39" fontId="6" fillId="0" borderId="1" xfId="14" applyNumberFormat="1" applyFont="1" applyFill="1" applyBorder="1"/>
    <xf numFmtId="39" fontId="6" fillId="0" borderId="5" xfId="14" applyNumberFormat="1" applyFont="1" applyFill="1" applyBorder="1"/>
    <xf numFmtId="4" fontId="3" fillId="3" borderId="0" xfId="14" applyNumberFormat="1" applyFont="1" applyFill="1" applyBorder="1" applyAlignment="1" applyProtection="1">
      <alignment horizontal="left" vertical="center"/>
    </xf>
    <xf numFmtId="39" fontId="7" fillId="4" borderId="0" xfId="14" applyNumberFormat="1" applyFont="1" applyFill="1" applyBorder="1"/>
    <xf numFmtId="0" fontId="112" fillId="3" borderId="1" xfId="14" applyFont="1" applyFill="1" applyBorder="1" applyAlignment="1">
      <alignment horizontal="center" vertical="center"/>
    </xf>
    <xf numFmtId="4" fontId="10" fillId="3" borderId="0" xfId="14" applyNumberFormat="1" applyFont="1" applyFill="1" applyBorder="1" applyAlignment="1" applyProtection="1">
      <alignment horizontal="left" vertical="center"/>
    </xf>
    <xf numFmtId="39" fontId="7" fillId="0" borderId="12" xfId="14" applyNumberFormat="1" applyFont="1" applyFill="1" applyBorder="1"/>
    <xf numFmtId="39" fontId="7" fillId="0" borderId="5" xfId="14" applyNumberFormat="1" applyFont="1" applyFill="1" applyBorder="1"/>
    <xf numFmtId="39" fontId="7" fillId="3" borderId="0" xfId="14" applyNumberFormat="1" applyFont="1" applyFill="1" applyBorder="1" applyAlignment="1">
      <alignment vertical="center"/>
    </xf>
    <xf numFmtId="39" fontId="7" fillId="17" borderId="33" xfId="14" applyNumberFormat="1" applyFont="1" applyFill="1" applyBorder="1"/>
    <xf numFmtId="39" fontId="7" fillId="17" borderId="0" xfId="14" applyNumberFormat="1" applyFont="1" applyFill="1" applyBorder="1"/>
    <xf numFmtId="39" fontId="7" fillId="17" borderId="34" xfId="14" applyNumberFormat="1" applyFont="1" applyFill="1" applyBorder="1"/>
    <xf numFmtId="39" fontId="102" fillId="3" borderId="0" xfId="14" applyNumberFormat="1" applyFont="1" applyFill="1" applyBorder="1"/>
    <xf numFmtId="39" fontId="7" fillId="29" borderId="0" xfId="14" applyNumberFormat="1" applyFont="1" applyFill="1" applyBorder="1" applyAlignment="1">
      <alignment horizontal="center" vertical="center"/>
    </xf>
    <xf numFmtId="39" fontId="7" fillId="29" borderId="0" xfId="14" applyNumberFormat="1" applyFont="1" applyFill="1" applyBorder="1"/>
    <xf numFmtId="0" fontId="6" fillId="0" borderId="12" xfId="14" applyFont="1" applyFill="1" applyBorder="1"/>
    <xf numFmtId="0" fontId="6" fillId="0" borderId="1" xfId="14" applyFont="1" applyFill="1" applyBorder="1"/>
    <xf numFmtId="0" fontId="6" fillId="0" borderId="5" xfId="14" applyFont="1" applyFill="1" applyBorder="1"/>
    <xf numFmtId="0" fontId="7" fillId="3" borderId="0" xfId="14" applyFont="1" applyFill="1" applyBorder="1" applyAlignment="1">
      <alignment vertical="center"/>
    </xf>
    <xf numFmtId="0" fontId="7" fillId="4" borderId="0" xfId="14" applyFont="1" applyFill="1" applyBorder="1"/>
    <xf numFmtId="39" fontId="7" fillId="17" borderId="35" xfId="14" applyNumberFormat="1" applyFont="1" applyFill="1" applyBorder="1"/>
    <xf numFmtId="39" fontId="7" fillId="17" borderId="15" xfId="14" applyNumberFormat="1" applyFont="1" applyFill="1" applyBorder="1"/>
    <xf numFmtId="39" fontId="7" fillId="17" borderId="36" xfId="14" applyNumberFormat="1" applyFont="1" applyFill="1" applyBorder="1"/>
    <xf numFmtId="176" fontId="7" fillId="3" borderId="0" xfId="14" applyNumberFormat="1" applyFont="1" applyFill="1" applyBorder="1"/>
    <xf numFmtId="176" fontId="76" fillId="3" borderId="0" xfId="14" applyNumberFormat="1" applyFont="1" applyFill="1" applyBorder="1"/>
    <xf numFmtId="0" fontId="102" fillId="3" borderId="0" xfId="14" applyFont="1" applyFill="1" applyBorder="1"/>
    <xf numFmtId="0" fontId="7" fillId="0" borderId="6" xfId="14" applyFont="1" applyFill="1" applyBorder="1" applyAlignment="1">
      <alignment horizontal="center" vertical="center" wrapText="1"/>
    </xf>
    <xf numFmtId="176" fontId="90" fillId="3" borderId="1" xfId="14" applyNumberFormat="1" applyFont="1" applyFill="1" applyBorder="1" applyAlignment="1">
      <alignment vertical="center" wrapText="1" readingOrder="1"/>
    </xf>
    <xf numFmtId="0" fontId="12" fillId="3" borderId="1" xfId="14" applyNumberFormat="1" applyFont="1" applyFill="1" applyBorder="1" applyAlignment="1">
      <alignment vertical="center" wrapText="1" readingOrder="1"/>
    </xf>
    <xf numFmtId="176" fontId="12" fillId="3" borderId="1" xfId="14" applyNumberFormat="1" applyFont="1" applyFill="1" applyBorder="1" applyAlignment="1">
      <alignment vertical="center" wrapText="1" readingOrder="1"/>
    </xf>
    <xf numFmtId="0" fontId="6" fillId="3" borderId="0" xfId="14" applyFont="1" applyFill="1" applyBorder="1" applyAlignment="1">
      <alignment horizontal="center" vertical="center" wrapText="1"/>
    </xf>
    <xf numFmtId="0" fontId="103" fillId="3" borderId="1" xfId="14" applyFont="1" applyFill="1" applyBorder="1" applyAlignment="1">
      <alignment vertical="center" wrapText="1"/>
    </xf>
    <xf numFmtId="0" fontId="104" fillId="3" borderId="1" xfId="14" applyFont="1" applyFill="1" applyBorder="1" applyAlignment="1">
      <alignment vertical="center" wrapText="1"/>
    </xf>
    <xf numFmtId="0" fontId="102" fillId="3" borderId="0" xfId="14" applyFont="1" applyFill="1" applyBorder="1" applyAlignment="1">
      <alignment horizontal="center" vertical="center" wrapText="1"/>
    </xf>
    <xf numFmtId="0" fontId="113" fillId="3" borderId="0" xfId="0" applyFont="1" applyFill="1" applyBorder="1" applyAlignment="1">
      <alignment horizontal="center" vertical="center" wrapText="1"/>
    </xf>
    <xf numFmtId="0" fontId="14" fillId="3" borderId="0" xfId="14" applyFont="1" applyFill="1" applyBorder="1" applyAlignment="1">
      <alignment horizontal="center" vertical="center"/>
    </xf>
    <xf numFmtId="0" fontId="104" fillId="3" borderId="1" xfId="14" applyFont="1" applyFill="1" applyBorder="1" applyAlignment="1">
      <alignment wrapText="1"/>
    </xf>
    <xf numFmtId="176" fontId="104" fillId="3" borderId="1" xfId="14" applyNumberFormat="1" applyFont="1" applyFill="1" applyBorder="1" applyAlignment="1">
      <alignment wrapText="1"/>
    </xf>
    <xf numFmtId="10" fontId="19" fillId="3" borderId="0" xfId="17" applyNumberFormat="1" applyFont="1" applyFill="1" applyBorder="1" applyAlignment="1">
      <alignment horizontal="center" vertical="center"/>
    </xf>
    <xf numFmtId="39" fontId="19" fillId="3" borderId="0" xfId="14" applyNumberFormat="1" applyFont="1" applyFill="1" applyBorder="1" applyAlignment="1">
      <alignment horizontal="right" vertical="center"/>
    </xf>
    <xf numFmtId="10" fontId="19" fillId="3" borderId="0" xfId="14" applyNumberFormat="1" applyFont="1" applyFill="1" applyBorder="1" applyAlignment="1">
      <alignment horizontal="center" vertical="center"/>
    </xf>
    <xf numFmtId="39" fontId="6" fillId="3" borderId="0" xfId="14" applyNumberFormat="1" applyFont="1" applyFill="1" applyBorder="1"/>
    <xf numFmtId="0" fontId="6" fillId="4" borderId="0" xfId="14" applyFont="1" applyFill="1" applyBorder="1"/>
    <xf numFmtId="0" fontId="7" fillId="3" borderId="1" xfId="14" applyFont="1" applyFill="1" applyBorder="1" applyAlignment="1">
      <alignment wrapText="1"/>
    </xf>
    <xf numFmtId="39" fontId="102" fillId="3" borderId="0" xfId="14" applyNumberFormat="1" applyFont="1" applyFill="1" applyBorder="1" applyAlignment="1">
      <alignment horizontal="right" vertical="center"/>
    </xf>
    <xf numFmtId="39" fontId="6" fillId="0" borderId="0" xfId="14" applyNumberFormat="1" applyFont="1" applyFill="1" applyBorder="1"/>
    <xf numFmtId="39" fontId="7" fillId="3" borderId="0" xfId="14" applyNumberFormat="1" applyFont="1" applyFill="1" applyBorder="1" applyAlignment="1">
      <alignment horizontal="center" vertical="center"/>
    </xf>
    <xf numFmtId="39" fontId="7" fillId="3" borderId="1" xfId="14" applyNumberFormat="1" applyFont="1" applyFill="1" applyBorder="1" applyAlignment="1">
      <alignment horizontal="center" vertical="center"/>
    </xf>
    <xf numFmtId="176" fontId="6" fillId="0" borderId="1" xfId="14" applyNumberFormat="1" applyFont="1" applyFill="1" applyBorder="1"/>
    <xf numFmtId="0" fontId="6" fillId="0" borderId="8" xfId="14" applyFont="1" applyFill="1" applyBorder="1" applyAlignment="1">
      <alignment horizontal="center" vertical="center" wrapText="1"/>
    </xf>
    <xf numFmtId="0" fontId="48" fillId="12" borderId="6"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0" fontId="115" fillId="8" borderId="6" xfId="14" applyNumberFormat="1" applyFont="1" applyFill="1" applyBorder="1" applyAlignment="1">
      <alignment horizontal="center" vertical="center" wrapText="1" readingOrder="1"/>
    </xf>
    <xf numFmtId="39" fontId="116" fillId="3" borderId="1" xfId="14" applyNumberFormat="1" applyFont="1" applyFill="1" applyBorder="1" applyAlignment="1">
      <alignment vertical="center" wrapText="1" readingOrder="1"/>
    </xf>
    <xf numFmtId="165" fontId="15" fillId="0" borderId="0" xfId="14" applyNumberFormat="1" applyFont="1" applyFill="1" applyBorder="1"/>
    <xf numFmtId="39" fontId="20" fillId="3" borderId="1" xfId="14" applyNumberFormat="1" applyFont="1" applyFill="1" applyBorder="1" applyAlignment="1">
      <alignment horizontal="right" vertical="center"/>
    </xf>
    <xf numFmtId="0" fontId="48" fillId="12" borderId="6" xfId="14" applyNumberFormat="1" applyFont="1" applyFill="1" applyBorder="1" applyAlignment="1">
      <alignment horizontal="center" vertical="center" wrapText="1" readingOrder="1"/>
    </xf>
    <xf numFmtId="0" fontId="117" fillId="13" borderId="6" xfId="1" applyFont="1" applyFill="1" applyBorder="1" applyAlignment="1">
      <alignment horizontal="center" vertical="center" wrapText="1"/>
    </xf>
    <xf numFmtId="0" fontId="117" fillId="11" borderId="6" xfId="1" applyFont="1" applyFill="1" applyBorder="1" applyAlignment="1">
      <alignment horizontal="center" vertical="center"/>
    </xf>
    <xf numFmtId="0" fontId="90" fillId="13" borderId="6" xfId="0" applyFont="1" applyFill="1" applyBorder="1" applyAlignment="1">
      <alignment horizontal="center" vertical="center" wrapText="1"/>
    </xf>
    <xf numFmtId="14" fontId="90" fillId="13" borderId="6" xfId="0" applyNumberFormat="1" applyFont="1" applyFill="1" applyBorder="1" applyAlignment="1">
      <alignment horizontal="center" vertical="center" wrapText="1"/>
    </xf>
    <xf numFmtId="170" fontId="90" fillId="13" borderId="6" xfId="11" applyNumberFormat="1" applyFont="1" applyFill="1" applyBorder="1" applyAlignment="1">
      <alignment horizontal="center" vertical="center" wrapText="1"/>
    </xf>
    <xf numFmtId="44" fontId="90" fillId="13" borderId="6" xfId="11" applyNumberFormat="1" applyFont="1" applyFill="1" applyBorder="1" applyAlignment="1">
      <alignment horizontal="center" vertical="center" wrapText="1"/>
    </xf>
    <xf numFmtId="0" fontId="90" fillId="13" borderId="16" xfId="0" applyFont="1" applyFill="1" applyBorder="1" applyAlignment="1">
      <alignment horizontal="center" vertical="center" wrapText="1"/>
    </xf>
    <xf numFmtId="0" fontId="118"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1" xfId="0" applyFont="1" applyFill="1" applyBorder="1" applyAlignment="1">
      <alignment vertical="center" wrapText="1"/>
    </xf>
    <xf numFmtId="14" fontId="19" fillId="3" borderId="1" xfId="0" applyNumberFormat="1" applyFont="1" applyFill="1" applyBorder="1" applyAlignment="1">
      <alignment horizontal="center" vertical="center" wrapText="1"/>
    </xf>
    <xf numFmtId="172" fontId="19" fillId="3" borderId="1" xfId="0" applyNumberFormat="1" applyFont="1" applyFill="1" applyBorder="1" applyAlignment="1">
      <alignment horizontal="center" vertical="center" wrapText="1"/>
    </xf>
    <xf numFmtId="171" fontId="119" fillId="3" borderId="1" xfId="3" applyNumberFormat="1" applyFont="1" applyFill="1" applyBorder="1" applyAlignment="1">
      <alignment horizontal="right" vertical="center" wrapText="1"/>
    </xf>
    <xf numFmtId="44" fontId="119" fillId="3" borderId="1" xfId="11" applyNumberFormat="1" applyFont="1" applyFill="1" applyBorder="1" applyAlignment="1">
      <alignment horizontal="center" vertical="center" wrapText="1"/>
    </xf>
    <xf numFmtId="0" fontId="19" fillId="4" borderId="12" xfId="0" applyFont="1" applyFill="1" applyBorder="1" applyAlignment="1">
      <alignment horizontal="center" vertical="center" wrapText="1"/>
    </xf>
    <xf numFmtId="0" fontId="0" fillId="0" borderId="1" xfId="0" applyBorder="1"/>
    <xf numFmtId="44" fontId="120" fillId="0" borderId="0" xfId="11" applyFont="1" applyFill="1" applyAlignment="1">
      <alignment horizontal="right" vertical="center" wrapText="1"/>
    </xf>
    <xf numFmtId="164" fontId="121" fillId="13" borderId="6" xfId="3" applyFont="1" applyFill="1" applyBorder="1" applyAlignment="1">
      <alignment horizontal="center" vertical="center" wrapText="1"/>
    </xf>
    <xf numFmtId="0" fontId="121" fillId="13" borderId="6" xfId="1" applyFont="1" applyFill="1" applyBorder="1" applyAlignment="1">
      <alignment horizontal="center" vertical="center" wrapText="1"/>
    </xf>
    <xf numFmtId="39" fontId="122" fillId="3" borderId="1" xfId="14" applyNumberFormat="1" applyFont="1" applyFill="1" applyBorder="1" applyAlignment="1">
      <alignment horizontal="right" vertical="center" wrapText="1" readingOrder="1"/>
    </xf>
    <xf numFmtId="39" fontId="19" fillId="3" borderId="1" xfId="14" applyNumberFormat="1" applyFont="1" applyFill="1" applyBorder="1" applyAlignment="1">
      <alignment horizontal="right" vertical="center" wrapText="1"/>
    </xf>
    <xf numFmtId="0" fontId="29" fillId="30" borderId="0" xfId="0" applyFont="1" applyFill="1" applyBorder="1" applyAlignment="1">
      <alignment vertical="center"/>
    </xf>
    <xf numFmtId="0" fontId="58" fillId="30" borderId="0" xfId="0" applyFont="1" applyFill="1" applyBorder="1" applyAlignment="1">
      <alignment horizontal="center" vertical="center"/>
    </xf>
    <xf numFmtId="0" fontId="29" fillId="30" borderId="0" xfId="0" applyFont="1" applyFill="1" applyAlignment="1">
      <alignment vertical="center"/>
    </xf>
    <xf numFmtId="44" fontId="29" fillId="30" borderId="0" xfId="0" applyNumberFormat="1" applyFont="1" applyFill="1" applyAlignment="1">
      <alignment vertical="center"/>
    </xf>
    <xf numFmtId="173" fontId="29" fillId="30" borderId="0" xfId="0" applyNumberFormat="1" applyFont="1" applyFill="1" applyAlignment="1">
      <alignment vertical="center"/>
    </xf>
    <xf numFmtId="0" fontId="0" fillId="30" borderId="0" xfId="0" applyFill="1"/>
    <xf numFmtId="0" fontId="52" fillId="4" borderId="37" xfId="1" applyFont="1" applyFill="1" applyBorder="1" applyAlignment="1">
      <alignment horizontal="center" vertical="center" wrapText="1"/>
    </xf>
    <xf numFmtId="0" fontId="123" fillId="3" borderId="1" xfId="0" applyFont="1" applyFill="1" applyBorder="1"/>
    <xf numFmtId="0" fontId="29" fillId="3" borderId="1" xfId="0" applyFont="1" applyFill="1" applyBorder="1" applyAlignment="1">
      <alignment vertical="center"/>
    </xf>
    <xf numFmtId="0" fontId="124" fillId="0" borderId="1" xfId="0" applyFont="1" applyFill="1" applyBorder="1" applyAlignment="1">
      <alignment horizontal="center" vertical="center" wrapText="1"/>
    </xf>
    <xf numFmtId="0" fontId="31" fillId="3" borderId="1" xfId="0" applyFont="1" applyFill="1" applyBorder="1"/>
    <xf numFmtId="0" fontId="19" fillId="11" borderId="1" xfId="0" applyFont="1" applyFill="1" applyBorder="1" applyAlignment="1">
      <alignment vertical="center" wrapText="1"/>
    </xf>
    <xf numFmtId="0" fontId="19" fillId="3" borderId="12" xfId="0" applyFont="1" applyFill="1" applyBorder="1" applyAlignment="1">
      <alignment horizontal="center" vertical="center" wrapText="1"/>
    </xf>
    <xf numFmtId="39" fontId="21" fillId="28" borderId="1" xfId="14" applyNumberFormat="1" applyFont="1" applyFill="1" applyBorder="1" applyAlignment="1">
      <alignment horizontal="right" vertical="center" wrapText="1" readingOrder="1"/>
    </xf>
    <xf numFmtId="39" fontId="21" fillId="28" borderId="1" xfId="14" applyNumberFormat="1" applyFont="1" applyFill="1" applyBorder="1" applyAlignment="1">
      <alignment horizontal="right" vertical="center"/>
    </xf>
    <xf numFmtId="10" fontId="21" fillId="28" borderId="1" xfId="17" applyNumberFormat="1" applyFont="1" applyFill="1" applyBorder="1" applyAlignment="1">
      <alignment horizontal="center" vertical="center"/>
    </xf>
    <xf numFmtId="39" fontId="21" fillId="28" borderId="1" xfId="14" applyNumberFormat="1" applyFont="1" applyFill="1" applyBorder="1" applyAlignment="1">
      <alignment horizontal="center" vertical="center" wrapText="1"/>
    </xf>
    <xf numFmtId="39" fontId="21" fillId="28" borderId="5" xfId="14" applyNumberFormat="1" applyFont="1" applyFill="1" applyBorder="1" applyAlignment="1">
      <alignment horizontal="right" vertical="center"/>
    </xf>
    <xf numFmtId="10" fontId="21" fillId="28" borderId="1" xfId="14" applyNumberFormat="1" applyFont="1" applyFill="1" applyBorder="1" applyAlignment="1">
      <alignment horizontal="center" vertical="center"/>
    </xf>
    <xf numFmtId="39" fontId="20" fillId="9" borderId="1" xfId="14" applyNumberFormat="1" applyFont="1" applyFill="1" applyBorder="1" applyAlignment="1">
      <alignment horizontal="right" vertical="center" wrapText="1" readingOrder="1"/>
    </xf>
    <xf numFmtId="39" fontId="20" fillId="9" borderId="1" xfId="14" applyNumberFormat="1" applyFont="1" applyFill="1" applyBorder="1" applyAlignment="1">
      <alignment vertical="center" wrapText="1" readingOrder="1"/>
    </xf>
    <xf numFmtId="171" fontId="119" fillId="4" borderId="1" xfId="3" applyNumberFormat="1" applyFont="1" applyFill="1" applyBorder="1" applyAlignment="1">
      <alignment horizontal="right" vertical="center" wrapText="1"/>
    </xf>
    <xf numFmtId="44" fontId="119" fillId="4" borderId="1" xfId="11" applyNumberFormat="1" applyFont="1" applyFill="1" applyBorder="1" applyAlignment="1">
      <alignment horizontal="center" vertical="center" wrapText="1"/>
    </xf>
    <xf numFmtId="10" fontId="6" fillId="3" borderId="1" xfId="17" applyNumberFormat="1" applyFont="1" applyFill="1" applyBorder="1" applyAlignment="1">
      <alignment horizontal="center" vertical="center" wrapText="1"/>
    </xf>
    <xf numFmtId="0" fontId="0" fillId="4" borderId="0" xfId="0" applyFill="1"/>
    <xf numFmtId="39" fontId="20" fillId="31" borderId="1" xfId="14" applyNumberFormat="1" applyFont="1" applyFill="1" applyBorder="1" applyAlignment="1">
      <alignment horizontal="right" vertical="center"/>
    </xf>
    <xf numFmtId="39" fontId="21" fillId="31" borderId="1" xfId="14" applyNumberFormat="1" applyFont="1" applyFill="1" applyBorder="1" applyAlignment="1">
      <alignment vertical="center" wrapText="1" readingOrder="1"/>
    </xf>
    <xf numFmtId="39" fontId="21" fillId="31" borderId="1" xfId="14" applyNumberFormat="1" applyFont="1" applyFill="1" applyBorder="1" applyAlignment="1">
      <alignment horizontal="right" vertical="center"/>
    </xf>
    <xf numFmtId="0" fontId="21" fillId="31" borderId="1" xfId="14" applyNumberFormat="1" applyFont="1" applyFill="1" applyBorder="1" applyAlignment="1">
      <alignment horizontal="left" vertical="center" wrapText="1" readingOrder="1"/>
    </xf>
    <xf numFmtId="39" fontId="21" fillId="31" borderId="1" xfId="14" applyNumberFormat="1" applyFont="1" applyFill="1" applyBorder="1" applyAlignment="1">
      <alignment horizontal="right" vertical="center" wrapText="1"/>
    </xf>
    <xf numFmtId="39" fontId="17" fillId="31" borderId="1" xfId="14" applyNumberFormat="1" applyFont="1" applyFill="1" applyBorder="1" applyAlignment="1">
      <alignment horizontal="right" vertical="center"/>
    </xf>
    <xf numFmtId="39" fontId="44" fillId="9" borderId="1" xfId="14" applyNumberFormat="1" applyFont="1" applyFill="1" applyBorder="1" applyAlignment="1">
      <alignment horizontal="right" vertical="center" wrapText="1" readingOrder="1"/>
    </xf>
    <xf numFmtId="176" fontId="47" fillId="12" borderId="0" xfId="14" applyNumberFormat="1" applyFont="1" applyFill="1" applyBorder="1" applyAlignment="1">
      <alignment horizontal="center" vertical="center" wrapText="1" readingOrder="1"/>
    </xf>
    <xf numFmtId="173" fontId="125" fillId="12" borderId="0" xfId="7" applyNumberFormat="1" applyFont="1" applyFill="1" applyBorder="1" applyAlignment="1">
      <alignment horizontal="center" vertical="center" wrapText="1" readingOrder="1"/>
    </xf>
    <xf numFmtId="167" fontId="98" fillId="32" borderId="0" xfId="7" applyFont="1" applyFill="1" applyBorder="1" applyAlignment="1">
      <alignment horizontal="center" vertical="center"/>
    </xf>
    <xf numFmtId="180" fontId="19" fillId="3" borderId="1" xfId="0" applyNumberFormat="1" applyFont="1" applyFill="1" applyBorder="1" applyAlignment="1">
      <alignment horizontal="center" vertical="center" wrapText="1"/>
    </xf>
    <xf numFmtId="0" fontId="127" fillId="0" borderId="0" xfId="0" applyFont="1" applyAlignment="1">
      <alignment horizontal="center" vertical="center" wrapText="1"/>
    </xf>
    <xf numFmtId="0" fontId="128" fillId="27" borderId="1"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0" fontId="133" fillId="4" borderId="0" xfId="0" applyFont="1" applyFill="1"/>
    <xf numFmtId="176" fontId="133" fillId="4" borderId="0" xfId="0" applyNumberFormat="1" applyFont="1" applyFill="1"/>
    <xf numFmtId="0" fontId="65" fillId="0" borderId="1" xfId="3" applyNumberFormat="1" applyFont="1" applyBorder="1" applyAlignment="1">
      <alignment horizontal="left" wrapText="1"/>
    </xf>
    <xf numFmtId="0" fontId="0" fillId="0" borderId="1" xfId="0" applyFont="1" applyBorder="1" applyAlignment="1">
      <alignment wrapText="1"/>
    </xf>
    <xf numFmtId="0" fontId="54" fillId="0" borderId="1" xfId="0" applyFont="1" applyBorder="1" applyAlignment="1">
      <alignment horizontal="center" vertical="center" wrapText="1"/>
    </xf>
    <xf numFmtId="0" fontId="66" fillId="0" borderId="1" xfId="3" applyNumberFormat="1" applyFont="1" applyBorder="1" applyAlignment="1">
      <alignment horizontal="center" vertical="center" wrapText="1"/>
    </xf>
    <xf numFmtId="175" fontId="136" fillId="0" borderId="1" xfId="7" applyNumberFormat="1" applyFont="1" applyBorder="1" applyAlignment="1">
      <alignment horizontal="left" wrapText="1"/>
    </xf>
    <xf numFmtId="0" fontId="135" fillId="0" borderId="1" xfId="0" applyFont="1" applyBorder="1" applyAlignment="1">
      <alignment wrapText="1"/>
    </xf>
    <xf numFmtId="0" fontId="127" fillId="4" borderId="1" xfId="0" applyFont="1" applyFill="1" applyBorder="1" applyAlignment="1">
      <alignment wrapText="1"/>
    </xf>
    <xf numFmtId="175" fontId="136" fillId="4" borderId="1" xfId="7" applyNumberFormat="1" applyFont="1" applyFill="1" applyBorder="1" applyAlignment="1">
      <alignment horizontal="left" wrapText="1"/>
    </xf>
    <xf numFmtId="175" fontId="127" fillId="0" borderId="1" xfId="7" applyNumberFormat="1" applyFont="1" applyBorder="1" applyAlignment="1">
      <alignment wrapText="1"/>
    </xf>
    <xf numFmtId="0" fontId="131" fillId="3" borderId="1" xfId="0" applyFont="1" applyFill="1" applyBorder="1" applyAlignment="1">
      <alignment horizontal="center" vertical="center" wrapText="1"/>
    </xf>
    <xf numFmtId="0" fontId="131" fillId="3" borderId="12" xfId="0" applyFont="1" applyFill="1" applyBorder="1" applyAlignment="1">
      <alignment horizontal="center" vertical="center" wrapText="1"/>
    </xf>
    <xf numFmtId="0" fontId="131" fillId="3" borderId="1" xfId="0" applyFont="1" applyFill="1" applyBorder="1" applyAlignment="1">
      <alignment vertical="center" wrapText="1"/>
    </xf>
    <xf numFmtId="14" fontId="131" fillId="3" borderId="1" xfId="0" applyNumberFormat="1" applyFont="1" applyFill="1" applyBorder="1" applyAlignment="1">
      <alignment horizontal="center" vertical="center" wrapText="1"/>
    </xf>
    <xf numFmtId="172" fontId="131" fillId="3" borderId="1" xfId="0" applyNumberFormat="1" applyFont="1" applyFill="1" applyBorder="1" applyAlignment="1">
      <alignment horizontal="center" vertical="center" wrapText="1"/>
    </xf>
    <xf numFmtId="171" fontId="132" fillId="3" borderId="1" xfId="3" applyNumberFormat="1" applyFont="1" applyFill="1" applyBorder="1" applyAlignment="1">
      <alignment horizontal="right" vertical="center" wrapText="1"/>
    </xf>
    <xf numFmtId="44" fontId="132" fillId="3" borderId="1" xfId="11" applyNumberFormat="1" applyFont="1" applyFill="1" applyBorder="1" applyAlignment="1">
      <alignment horizontal="center" vertical="center" wrapText="1"/>
    </xf>
    <xf numFmtId="0" fontId="118" fillId="9" borderId="1" xfId="0" applyFont="1" applyFill="1" applyBorder="1" applyAlignment="1">
      <alignment horizontal="center" vertical="center" wrapText="1"/>
    </xf>
    <xf numFmtId="0" fontId="19" fillId="9" borderId="12" xfId="0" applyFont="1" applyFill="1" applyBorder="1" applyAlignment="1">
      <alignment horizontal="center" vertical="center" wrapText="1"/>
    </xf>
    <xf numFmtId="0" fontId="19" fillId="9" borderId="1" xfId="0" applyFont="1" applyFill="1" applyBorder="1" applyAlignment="1">
      <alignment vertical="center" wrapText="1"/>
    </xf>
    <xf numFmtId="14" fontId="19" fillId="9" borderId="1" xfId="0" applyNumberFormat="1" applyFont="1" applyFill="1" applyBorder="1" applyAlignment="1">
      <alignment horizontal="center" vertical="center" wrapText="1"/>
    </xf>
    <xf numFmtId="172" fontId="19" fillId="9" borderId="1" xfId="0" applyNumberFormat="1" applyFont="1" applyFill="1" applyBorder="1" applyAlignment="1">
      <alignment horizontal="center" vertical="center" wrapText="1"/>
    </xf>
    <xf numFmtId="171" fontId="119" fillId="9" borderId="1" xfId="3" applyNumberFormat="1" applyFont="1" applyFill="1" applyBorder="1" applyAlignment="1">
      <alignment horizontal="right" vertical="center" wrapText="1"/>
    </xf>
    <xf numFmtId="44" fontId="119" fillId="9" borderId="1" xfId="11" applyNumberFormat="1" applyFont="1" applyFill="1" applyBorder="1" applyAlignment="1">
      <alignment horizontal="center" vertical="center" wrapText="1"/>
    </xf>
    <xf numFmtId="0" fontId="137" fillId="9"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 xfId="0" applyFont="1" applyFill="1" applyBorder="1" applyAlignment="1">
      <alignment vertical="center" wrapText="1"/>
    </xf>
    <xf numFmtId="14" fontId="19" fillId="0" borderId="1" xfId="0" applyNumberFormat="1" applyFont="1" applyFill="1" applyBorder="1" applyAlignment="1">
      <alignment horizontal="center" vertical="center" wrapText="1"/>
    </xf>
    <xf numFmtId="172" fontId="19" fillId="0" borderId="1" xfId="0" applyNumberFormat="1" applyFont="1" applyFill="1" applyBorder="1" applyAlignment="1">
      <alignment horizontal="center" vertical="center" wrapText="1"/>
    </xf>
    <xf numFmtId="171" fontId="119" fillId="0" borderId="1" xfId="3" applyNumberFormat="1" applyFont="1" applyFill="1" applyBorder="1" applyAlignment="1">
      <alignment horizontal="right" vertical="center" wrapText="1"/>
    </xf>
    <xf numFmtId="44" fontId="119" fillId="0" borderId="1" xfId="11" applyNumberFormat="1" applyFont="1" applyFill="1" applyBorder="1" applyAlignment="1">
      <alignment horizontal="center" vertical="center" wrapText="1"/>
    </xf>
    <xf numFmtId="0" fontId="137"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44" fontId="53" fillId="9" borderId="1" xfId="11" applyFont="1" applyFill="1" applyBorder="1" applyAlignment="1">
      <alignment horizontal="center" vertical="center" wrapText="1"/>
    </xf>
    <xf numFmtId="0" fontId="130" fillId="0" borderId="1" xfId="0" applyFont="1" applyFill="1" applyBorder="1" applyAlignment="1">
      <alignment horizontal="center" vertical="center" wrapText="1"/>
    </xf>
    <xf numFmtId="0" fontId="131" fillId="0" borderId="1" xfId="0" applyFont="1" applyFill="1" applyBorder="1" applyAlignment="1">
      <alignment horizontal="center" vertical="center" wrapText="1"/>
    </xf>
    <xf numFmtId="0" fontId="131" fillId="0" borderId="12" xfId="0" applyFont="1" applyFill="1" applyBorder="1" applyAlignment="1">
      <alignment horizontal="center" vertical="center" wrapText="1"/>
    </xf>
    <xf numFmtId="0" fontId="131" fillId="0" borderId="1" xfId="0" applyFont="1" applyFill="1" applyBorder="1" applyAlignment="1">
      <alignment vertical="center" wrapText="1"/>
    </xf>
    <xf numFmtId="14" fontId="131" fillId="0" borderId="1" xfId="0" applyNumberFormat="1" applyFont="1" applyFill="1" applyBorder="1" applyAlignment="1">
      <alignment horizontal="center" vertical="center" wrapText="1"/>
    </xf>
    <xf numFmtId="172" fontId="131" fillId="0" borderId="1" xfId="0" applyNumberFormat="1" applyFont="1" applyFill="1" applyBorder="1" applyAlignment="1">
      <alignment horizontal="center" vertical="center" wrapText="1"/>
    </xf>
    <xf numFmtId="171" fontId="132" fillId="0" borderId="1" xfId="3" applyNumberFormat="1" applyFont="1" applyFill="1" applyBorder="1" applyAlignment="1">
      <alignment horizontal="right" vertical="center" wrapText="1"/>
    </xf>
    <xf numFmtId="44" fontId="132" fillId="0" borderId="1" xfId="11" applyNumberFormat="1" applyFont="1" applyFill="1" applyBorder="1" applyAlignment="1">
      <alignment horizontal="center" vertical="center" wrapText="1"/>
    </xf>
    <xf numFmtId="10" fontId="139" fillId="30" borderId="1" xfId="17" applyNumberFormat="1" applyFont="1" applyFill="1" applyBorder="1" applyAlignment="1">
      <alignment horizontal="center" vertical="center"/>
    </xf>
    <xf numFmtId="167" fontId="41" fillId="3" borderId="18" xfId="7" applyFont="1" applyFill="1" applyBorder="1" applyAlignment="1"/>
    <xf numFmtId="39" fontId="19" fillId="9" borderId="1" xfId="14" applyNumberFormat="1" applyFont="1" applyFill="1" applyBorder="1" applyAlignment="1">
      <alignment horizontal="right" vertical="center" wrapText="1"/>
    </xf>
    <xf numFmtId="0" fontId="0" fillId="0" borderId="0" xfId="0" applyFill="1"/>
    <xf numFmtId="39" fontId="8" fillId="3" borderId="1" xfId="14" applyNumberFormat="1" applyFont="1" applyFill="1" applyBorder="1" applyAlignment="1">
      <alignment horizontal="right" vertical="center" wrapText="1" readingOrder="1"/>
    </xf>
    <xf numFmtId="0" fontId="48" fillId="12" borderId="6" xfId="14" applyNumberFormat="1" applyFont="1" applyFill="1" applyBorder="1" applyAlignment="1">
      <alignment horizontal="center" vertical="center" wrapText="1" readingOrder="1"/>
    </xf>
    <xf numFmtId="0" fontId="7" fillId="0" borderId="0" xfId="14" applyFont="1" applyFill="1" applyBorder="1" applyAlignment="1">
      <alignment horizontal="center"/>
    </xf>
    <xf numFmtId="14" fontId="137" fillId="9" borderId="1" xfId="0" applyNumberFormat="1" applyFont="1" applyFill="1" applyBorder="1" applyAlignment="1">
      <alignment horizontal="center" vertical="center" wrapText="1"/>
    </xf>
    <xf numFmtId="44" fontId="137" fillId="9" borderId="1" xfId="18" applyFont="1" applyFill="1" applyBorder="1" applyAlignment="1">
      <alignment horizontal="center" vertical="center" wrapText="1"/>
    </xf>
    <xf numFmtId="14" fontId="137" fillId="0" borderId="1" xfId="0" applyNumberFormat="1" applyFont="1" applyFill="1" applyBorder="1" applyAlignment="1">
      <alignment horizontal="center" vertical="center" wrapText="1"/>
    </xf>
    <xf numFmtId="44" fontId="137" fillId="0" borderId="1" xfId="18" applyFont="1" applyFill="1" applyBorder="1" applyAlignment="1">
      <alignment horizontal="center" vertical="center" wrapText="1"/>
    </xf>
    <xf numFmtId="39" fontId="21" fillId="21" borderId="1" xfId="14" applyNumberFormat="1" applyFont="1" applyFill="1" applyBorder="1" applyAlignment="1">
      <alignment horizontal="right" vertical="center"/>
    </xf>
    <xf numFmtId="39" fontId="21" fillId="21" borderId="1" xfId="14" applyNumberFormat="1" applyFont="1" applyFill="1" applyBorder="1" applyAlignment="1">
      <alignment horizontal="right" vertical="center" wrapText="1" readingOrder="1"/>
    </xf>
    <xf numFmtId="39" fontId="21" fillId="21" borderId="1" xfId="14" applyNumberFormat="1" applyFont="1" applyFill="1" applyBorder="1" applyAlignment="1">
      <alignment vertical="center" wrapText="1" readingOrder="1"/>
    </xf>
    <xf numFmtId="39" fontId="21" fillId="8" borderId="1" xfId="14" applyNumberFormat="1" applyFont="1" applyFill="1" applyBorder="1" applyAlignment="1">
      <alignment horizontal="right" vertical="center" wrapText="1" readingOrder="1"/>
    </xf>
    <xf numFmtId="39" fontId="19" fillId="8" borderId="1" xfId="14" applyNumberFormat="1" applyFont="1" applyFill="1" applyBorder="1" applyAlignment="1">
      <alignment horizontal="right" vertical="center" wrapText="1" readingOrder="1"/>
    </xf>
    <xf numFmtId="181" fontId="7" fillId="3" borderId="1" xfId="14" applyNumberFormat="1" applyFont="1" applyFill="1" applyBorder="1" applyAlignment="1">
      <alignment horizontal="center" vertical="center" wrapText="1"/>
    </xf>
    <xf numFmtId="10" fontId="17" fillId="3" borderId="1" xfId="14" applyNumberFormat="1" applyFont="1" applyFill="1" applyBorder="1" applyAlignment="1">
      <alignment horizontal="center" vertical="center"/>
    </xf>
    <xf numFmtId="0" fontId="0" fillId="3" borderId="0" xfId="0" applyFill="1"/>
    <xf numFmtId="0" fontId="0" fillId="3" borderId="1" xfId="0" applyFill="1" applyBorder="1"/>
    <xf numFmtId="0" fontId="138" fillId="9" borderId="1" xfId="0" applyFont="1" applyFill="1" applyBorder="1" applyAlignment="1">
      <alignment horizontal="left" vertical="center" wrapText="1"/>
    </xf>
    <xf numFmtId="0" fontId="2" fillId="3" borderId="0" xfId="0" applyFont="1" applyFill="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3" borderId="0" xfId="0" applyFont="1" applyFill="1" applyBorder="1" applyAlignment="1">
      <alignment horizontal="center" vertical="center" wrapText="1"/>
    </xf>
    <xf numFmtId="44" fontId="137" fillId="9" borderId="1" xfId="18" applyFont="1" applyFill="1" applyBorder="1" applyAlignment="1">
      <alignment vertical="center" wrapText="1"/>
    </xf>
    <xf numFmtId="0" fontId="137" fillId="9" borderId="1" xfId="0" applyFont="1" applyFill="1" applyBorder="1" applyAlignment="1">
      <alignment vertical="center" wrapText="1"/>
    </xf>
    <xf numFmtId="0" fontId="90" fillId="3" borderId="1" xfId="14" applyNumberFormat="1" applyFont="1" applyFill="1" applyBorder="1" applyAlignment="1">
      <alignment horizontal="left" vertical="center" wrapText="1" readingOrder="1"/>
    </xf>
    <xf numFmtId="39" fontId="50" fillId="3" borderId="1" xfId="14" applyNumberFormat="1" applyFont="1" applyFill="1" applyBorder="1" applyAlignment="1">
      <alignment horizontal="right" vertical="center"/>
    </xf>
    <xf numFmtId="0" fontId="19" fillId="9" borderId="6" xfId="0" applyFont="1" applyFill="1" applyBorder="1" applyAlignment="1">
      <alignment vertical="center" wrapText="1"/>
    </xf>
    <xf numFmtId="0" fontId="137" fillId="3" borderId="1" xfId="0" applyFont="1" applyFill="1" applyBorder="1" applyAlignment="1">
      <alignment horizontal="center" vertical="center" wrapText="1"/>
    </xf>
    <xf numFmtId="175" fontId="18" fillId="3" borderId="8" xfId="7" applyNumberFormat="1" applyFont="1" applyFill="1" applyBorder="1" applyAlignment="1">
      <alignment horizontal="center" vertical="center"/>
    </xf>
    <xf numFmtId="171" fontId="119" fillId="9" borderId="1" xfId="3" applyNumberFormat="1" applyFont="1" applyFill="1" applyBorder="1" applyAlignment="1">
      <alignment vertical="center" wrapText="1"/>
    </xf>
    <xf numFmtId="171" fontId="119" fillId="3" borderId="8" xfId="3" applyNumberFormat="1" applyFont="1" applyFill="1" applyBorder="1" applyAlignment="1">
      <alignment vertical="center" wrapText="1"/>
    </xf>
    <xf numFmtId="44" fontId="137" fillId="3" borderId="1" xfId="18" applyFont="1" applyFill="1" applyBorder="1" applyAlignment="1">
      <alignment horizontal="center" vertical="center" wrapText="1"/>
    </xf>
    <xf numFmtId="14" fontId="137" fillId="3" borderId="1" xfId="0" applyNumberFormat="1" applyFont="1" applyFill="1" applyBorder="1" applyAlignment="1">
      <alignment horizontal="center" vertical="center" wrapText="1"/>
    </xf>
    <xf numFmtId="0" fontId="19" fillId="3" borderId="8" xfId="0" applyFont="1" applyFill="1" applyBorder="1" applyAlignment="1">
      <alignment horizontal="center" vertical="center" wrapText="1"/>
    </xf>
    <xf numFmtId="175" fontId="67" fillId="3" borderId="6" xfId="7" applyNumberFormat="1" applyFont="1" applyFill="1" applyBorder="1" applyAlignment="1">
      <alignment horizontal="center" vertical="center" wrapText="1"/>
    </xf>
    <xf numFmtId="0" fontId="117" fillId="13" borderId="1" xfId="1" applyFont="1" applyFill="1" applyBorder="1" applyAlignment="1">
      <alignment horizontal="center" vertical="center" wrapText="1"/>
    </xf>
    <xf numFmtId="164" fontId="121" fillId="13" borderId="1" xfId="3" applyFont="1" applyFill="1" applyBorder="1" applyAlignment="1">
      <alignment horizontal="center" vertical="center" wrapText="1"/>
    </xf>
    <xf numFmtId="165" fontId="0" fillId="0" borderId="0" xfId="0" applyNumberFormat="1" applyFont="1"/>
    <xf numFmtId="165" fontId="0" fillId="0" borderId="0" xfId="0" applyNumberFormat="1" applyFont="1" applyAlignment="1">
      <alignment horizontal="center" vertical="center" wrapText="1"/>
    </xf>
    <xf numFmtId="165" fontId="65" fillId="0" borderId="0" xfId="3" applyNumberFormat="1" applyFont="1" applyAlignment="1">
      <alignment horizontal="left" wrapText="1"/>
    </xf>
    <xf numFmtId="0" fontId="19" fillId="3" borderId="6" xfId="0" applyFont="1" applyFill="1" applyBorder="1" applyAlignment="1">
      <alignment horizontal="center" vertical="center" wrapText="1"/>
    </xf>
    <xf numFmtId="14" fontId="19" fillId="3" borderId="6" xfId="0" applyNumberFormat="1" applyFont="1" applyFill="1" applyBorder="1" applyAlignment="1">
      <alignment horizontal="center" vertical="center" wrapText="1"/>
    </xf>
    <xf numFmtId="172" fontId="19" fillId="3" borderId="6" xfId="0" applyNumberFormat="1" applyFont="1" applyFill="1" applyBorder="1" applyAlignment="1">
      <alignment horizontal="center" vertical="center" wrapText="1"/>
    </xf>
    <xf numFmtId="182" fontId="137" fillId="9" borderId="1" xfId="0" applyNumberFormat="1" applyFont="1" applyFill="1" applyBorder="1" applyAlignment="1">
      <alignment horizontal="center" vertical="center" wrapText="1"/>
    </xf>
    <xf numFmtId="44" fontId="119" fillId="9" borderId="1" xfId="11" applyNumberFormat="1" applyFont="1" applyFill="1" applyBorder="1" applyAlignment="1">
      <alignment vertical="center" wrapText="1"/>
    </xf>
    <xf numFmtId="0" fontId="137" fillId="9" borderId="1" xfId="0" applyNumberFormat="1" applyFont="1" applyFill="1" applyBorder="1" applyAlignment="1">
      <alignment horizontal="center" vertical="center" wrapText="1"/>
    </xf>
    <xf numFmtId="0" fontId="19" fillId="4" borderId="1" xfId="0" applyFont="1" applyFill="1" applyBorder="1" applyAlignment="1">
      <alignment vertical="center" wrapText="1"/>
    </xf>
    <xf numFmtId="172" fontId="19" fillId="9" borderId="6" xfId="0" applyNumberFormat="1" applyFont="1" applyFill="1" applyBorder="1" applyAlignment="1">
      <alignment vertical="center" wrapText="1"/>
    </xf>
    <xf numFmtId="171" fontId="119" fillId="9" borderId="6" xfId="3" applyNumberFormat="1" applyFont="1" applyFill="1" applyBorder="1" applyAlignment="1">
      <alignment vertical="center" wrapText="1"/>
    </xf>
    <xf numFmtId="44" fontId="119" fillId="9" borderId="6" xfId="11" applyNumberFormat="1" applyFont="1" applyFill="1" applyBorder="1" applyAlignment="1">
      <alignment vertical="center" wrapText="1"/>
    </xf>
    <xf numFmtId="39" fontId="9" fillId="9" borderId="1" xfId="14" applyNumberFormat="1" applyFont="1" applyFill="1" applyBorder="1" applyAlignment="1">
      <alignment horizontal="right" vertical="center" wrapText="1" readingOrder="1"/>
    </xf>
    <xf numFmtId="44" fontId="91" fillId="9" borderId="0" xfId="11" applyFont="1" applyFill="1" applyAlignment="1">
      <alignment horizontal="right" vertical="center" wrapText="1"/>
    </xf>
    <xf numFmtId="39" fontId="21" fillId="9" borderId="1" xfId="14" applyNumberFormat="1" applyFont="1" applyFill="1" applyBorder="1" applyAlignment="1">
      <alignment horizontal="right" vertical="center" wrapText="1" readingOrder="1"/>
    </xf>
    <xf numFmtId="39" fontId="21" fillId="9" borderId="1" xfId="14" applyNumberFormat="1" applyFont="1" applyFill="1" applyBorder="1" applyAlignment="1">
      <alignment horizontal="right" vertical="center"/>
    </xf>
    <xf numFmtId="44" fontId="94" fillId="9" borderId="0" xfId="11" applyFont="1" applyFill="1" applyAlignment="1">
      <alignment horizontal="right" vertical="center" wrapText="1"/>
    </xf>
    <xf numFmtId="39" fontId="21" fillId="9" borderId="1" xfId="14" applyNumberFormat="1" applyFont="1" applyFill="1" applyBorder="1" applyAlignment="1">
      <alignment vertical="center" wrapText="1" readingOrder="1"/>
    </xf>
    <xf numFmtId="39" fontId="19" fillId="9" borderId="1" xfId="14" applyNumberFormat="1" applyFont="1" applyFill="1" applyBorder="1" applyAlignment="1">
      <alignment horizontal="right" vertical="center" wrapText="1" readingOrder="1"/>
    </xf>
    <xf numFmtId="39" fontId="19" fillId="11" borderId="1" xfId="14" applyNumberFormat="1" applyFont="1" applyFill="1" applyBorder="1" applyAlignment="1">
      <alignment horizontal="right" vertical="center" wrapText="1"/>
    </xf>
    <xf numFmtId="44" fontId="137" fillId="11" borderId="1" xfId="18" applyFont="1" applyFill="1" applyBorder="1" applyAlignment="1">
      <alignment horizontal="center" vertical="center" wrapText="1"/>
    </xf>
    <xf numFmtId="0" fontId="137" fillId="11" borderId="1" xfId="0" applyFont="1" applyFill="1" applyBorder="1" applyAlignment="1">
      <alignment horizontal="center" vertical="center" wrapText="1"/>
    </xf>
    <xf numFmtId="0" fontId="137" fillId="9" borderId="6" xfId="0" applyFont="1" applyFill="1" applyBorder="1" applyAlignment="1">
      <alignment vertical="center" wrapText="1"/>
    </xf>
    <xf numFmtId="39" fontId="8" fillId="3" borderId="1" xfId="14" applyNumberFormat="1" applyFont="1" applyFill="1" applyBorder="1" applyAlignment="1">
      <alignment horizontal="right" vertical="center" wrapText="1" readingOrder="1"/>
    </xf>
    <xf numFmtId="14" fontId="19" fillId="4" borderId="1" xfId="0" applyNumberFormat="1" applyFont="1" applyFill="1" applyBorder="1" applyAlignment="1">
      <alignment horizontal="center" vertical="center" wrapText="1"/>
    </xf>
    <xf numFmtId="0" fontId="118" fillId="4" borderId="1" xfId="0" applyFont="1" applyFill="1" applyBorder="1" applyAlignment="1">
      <alignment horizontal="center" vertical="center" wrapText="1"/>
    </xf>
    <xf numFmtId="0" fontId="0" fillId="11" borderId="1" xfId="0" applyFill="1" applyBorder="1"/>
    <xf numFmtId="172" fontId="19" fillId="4" borderId="1" xfId="0" applyNumberFormat="1"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3" borderId="12" xfId="0" applyFont="1" applyFill="1" applyBorder="1" applyAlignment="1">
      <alignment horizontal="center" vertical="center" wrapText="1"/>
    </xf>
    <xf numFmtId="14" fontId="137" fillId="9" borderId="6" xfId="0" applyNumberFormat="1" applyFont="1" applyFill="1" applyBorder="1" applyAlignment="1">
      <alignment horizontal="center" vertical="center" wrapText="1"/>
    </xf>
    <xf numFmtId="0" fontId="137" fillId="9" borderId="6" xfId="0" applyFont="1" applyFill="1" applyBorder="1" applyAlignment="1">
      <alignment horizontal="center" vertical="center" wrapText="1"/>
    </xf>
    <xf numFmtId="0" fontId="19" fillId="9" borderId="6" xfId="0" applyFont="1" applyFill="1" applyBorder="1" applyAlignment="1">
      <alignment horizontal="center" vertical="center" wrapText="1"/>
    </xf>
    <xf numFmtId="0" fontId="19" fillId="9" borderId="1" xfId="0" applyFont="1" applyFill="1" applyBorder="1" applyAlignment="1">
      <alignment horizontal="center" vertical="center" wrapText="1"/>
    </xf>
    <xf numFmtId="14" fontId="19" fillId="9" borderId="6" xfId="0" applyNumberFormat="1" applyFont="1" applyFill="1" applyBorder="1" applyAlignment="1">
      <alignment horizontal="center" vertical="center" wrapText="1"/>
    </xf>
    <xf numFmtId="172" fontId="19" fillId="9" borderId="6" xfId="0" applyNumberFormat="1" applyFont="1" applyFill="1" applyBorder="1" applyAlignment="1">
      <alignment horizontal="center" vertical="center" wrapText="1"/>
    </xf>
    <xf numFmtId="165" fontId="1" fillId="0" borderId="1" xfId="0" applyNumberFormat="1" applyFont="1" applyBorder="1" applyAlignment="1">
      <alignment wrapText="1"/>
    </xf>
    <xf numFmtId="173" fontId="1" fillId="3" borderId="0" xfId="0" applyNumberFormat="1" applyFont="1" applyFill="1" applyBorder="1" applyAlignment="1">
      <alignment horizontal="center" vertical="center" wrapText="1"/>
    </xf>
    <xf numFmtId="167" fontId="1" fillId="3" borderId="0" xfId="7" applyFont="1" applyFill="1" applyBorder="1" applyAlignment="1">
      <alignment horizontal="center"/>
    </xf>
    <xf numFmtId="0" fontId="1" fillId="3" borderId="0" xfId="0" applyFont="1" applyFill="1" applyBorder="1" applyAlignment="1">
      <alignment horizontal="center" vertical="center" wrapText="1"/>
    </xf>
    <xf numFmtId="167" fontId="1" fillId="3" borderId="0" xfId="7" applyFont="1" applyFill="1" applyBorder="1" applyAlignment="1">
      <alignment horizontal="center" vertical="center" wrapText="1"/>
    </xf>
    <xf numFmtId="0" fontId="0" fillId="9" borderId="1" xfId="0" applyFill="1" applyBorder="1"/>
    <xf numFmtId="0" fontId="19" fillId="9" borderId="6" xfId="0" applyFont="1" applyFill="1" applyBorder="1" applyAlignment="1">
      <alignment vertical="center"/>
    </xf>
    <xf numFmtId="0" fontId="19" fillId="9" borderId="6" xfId="0" applyFont="1" applyFill="1" applyBorder="1" applyAlignment="1">
      <alignment horizontal="center" vertical="center"/>
    </xf>
    <xf numFmtId="0" fontId="19" fillId="9" borderId="14" xfId="0" applyFont="1" applyFill="1" applyBorder="1" applyAlignment="1">
      <alignment horizontal="center" vertical="center" wrapText="1"/>
    </xf>
    <xf numFmtId="183" fontId="19" fillId="9" borderId="6" xfId="0" applyNumberFormat="1" applyFont="1" applyFill="1" applyBorder="1" applyAlignment="1">
      <alignment horizontal="center" vertical="center" wrapText="1"/>
    </xf>
    <xf numFmtId="171" fontId="119" fillId="9" borderId="6" xfId="3" applyNumberFormat="1" applyFont="1" applyFill="1" applyBorder="1" applyAlignment="1">
      <alignment horizontal="right" vertical="center" wrapText="1"/>
    </xf>
    <xf numFmtId="44" fontId="94" fillId="3" borderId="0" xfId="11" applyFont="1" applyFill="1" applyAlignment="1">
      <alignment horizontal="right" vertical="center" wrapText="1"/>
    </xf>
    <xf numFmtId="39" fontId="12" fillId="3" borderId="1" xfId="14" applyNumberFormat="1"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18" fillId="3" borderId="0"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0" xfId="0" applyFont="1" applyFill="1" applyBorder="1" applyAlignment="1">
      <alignment vertical="center" wrapText="1"/>
    </xf>
    <xf numFmtId="14" fontId="19" fillId="3" borderId="0" xfId="0" applyNumberFormat="1" applyFont="1" applyFill="1" applyBorder="1" applyAlignment="1">
      <alignment horizontal="center" vertical="center" wrapText="1"/>
    </xf>
    <xf numFmtId="172" fontId="19" fillId="3" borderId="0" xfId="0" applyNumberFormat="1" applyFont="1" applyFill="1" applyBorder="1" applyAlignment="1">
      <alignment horizontal="center" vertical="center" wrapText="1"/>
    </xf>
    <xf numFmtId="171" fontId="119" fillId="3" borderId="0" xfId="3" applyNumberFormat="1" applyFont="1" applyFill="1" applyBorder="1" applyAlignment="1">
      <alignment horizontal="right" vertical="center" wrapText="1"/>
    </xf>
    <xf numFmtId="0" fontId="19" fillId="3" borderId="14" xfId="0" applyFont="1" applyFill="1" applyBorder="1" applyAlignment="1">
      <alignment horizontal="center" vertical="center" wrapText="1"/>
    </xf>
    <xf numFmtId="0" fontId="19" fillId="3" borderId="6" xfId="0" applyFont="1" applyFill="1" applyBorder="1" applyAlignment="1">
      <alignment vertical="center" wrapText="1"/>
    </xf>
    <xf numFmtId="183" fontId="19" fillId="3" borderId="6" xfId="0" applyNumberFormat="1" applyFont="1" applyFill="1" applyBorder="1" applyAlignment="1">
      <alignment horizontal="center" vertical="center" wrapText="1"/>
    </xf>
    <xf numFmtId="171" fontId="119" fillId="3" borderId="6" xfId="3" applyNumberFormat="1" applyFont="1" applyFill="1" applyBorder="1" applyAlignment="1">
      <alignment horizontal="right" vertical="center" wrapText="1"/>
    </xf>
    <xf numFmtId="183" fontId="19" fillId="3" borderId="1" xfId="0" applyNumberFormat="1" applyFont="1" applyFill="1" applyBorder="1" applyAlignment="1">
      <alignment horizontal="center" vertical="center" wrapText="1"/>
    </xf>
    <xf numFmtId="44" fontId="119" fillId="3" borderId="0" xfId="11" applyNumberFormat="1" applyFont="1" applyFill="1" applyBorder="1" applyAlignment="1">
      <alignment horizontal="center" vertical="center" wrapText="1"/>
    </xf>
    <xf numFmtId="0" fontId="0" fillId="3" borderId="0" xfId="0" applyFill="1" applyBorder="1"/>
    <xf numFmtId="171" fontId="132" fillId="3" borderId="1" xfId="3" applyNumberFormat="1" applyFont="1" applyFill="1" applyBorder="1" applyAlignment="1">
      <alignment vertical="center" wrapText="1"/>
    </xf>
    <xf numFmtId="44" fontId="132" fillId="3" borderId="1" xfId="11" applyNumberFormat="1" applyFont="1" applyFill="1" applyBorder="1" applyAlignment="1">
      <alignment vertical="center" wrapText="1"/>
    </xf>
    <xf numFmtId="0" fontId="19" fillId="3" borderId="12" xfId="0" applyFont="1" applyFill="1" applyBorder="1" applyAlignment="1">
      <alignment horizontal="center" vertical="center" wrapText="1"/>
    </xf>
    <xf numFmtId="0" fontId="141" fillId="11" borderId="1" xfId="0" applyFont="1" applyFill="1" applyBorder="1"/>
    <xf numFmtId="0" fontId="19" fillId="9" borderId="6" xfId="0" applyFont="1" applyFill="1" applyBorder="1" applyAlignment="1">
      <alignment horizontal="center" vertical="center" wrapText="1"/>
    </xf>
    <xf numFmtId="0" fontId="19" fillId="9" borderId="1" xfId="0" applyFont="1" applyFill="1" applyBorder="1" applyAlignment="1">
      <alignment horizontal="center" vertical="center" wrapText="1"/>
    </xf>
    <xf numFmtId="14" fontId="19" fillId="9" borderId="6" xfId="0" applyNumberFormat="1" applyFont="1" applyFill="1" applyBorder="1" applyAlignment="1">
      <alignment horizontal="center" vertical="center" wrapText="1"/>
    </xf>
    <xf numFmtId="0" fontId="137" fillId="4" borderId="1" xfId="0" applyFont="1" applyFill="1" applyBorder="1" applyAlignment="1">
      <alignment horizontal="center" vertical="center" wrapText="1"/>
    </xf>
    <xf numFmtId="0" fontId="16" fillId="3" borderId="5" xfId="14" applyNumberFormat="1" applyFont="1" applyFill="1" applyBorder="1" applyAlignment="1">
      <alignment horizontal="center" vertical="center" wrapText="1" readingOrder="1"/>
    </xf>
    <xf numFmtId="0" fontId="16" fillId="3" borderId="7"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0" fontId="16" fillId="3" borderId="1" xfId="14" applyNumberFormat="1" applyFont="1" applyFill="1" applyBorder="1" applyAlignment="1">
      <alignment horizontal="center" vertical="center" wrapText="1" readingOrder="1"/>
    </xf>
    <xf numFmtId="0" fontId="16" fillId="3" borderId="12" xfId="14" applyNumberFormat="1" applyFont="1" applyFill="1" applyBorder="1" applyAlignment="1">
      <alignment horizontal="center" vertical="center" wrapText="1" readingOrder="1"/>
    </xf>
    <xf numFmtId="0" fontId="48" fillId="12" borderId="1" xfId="14" applyNumberFormat="1" applyFont="1" applyFill="1" applyBorder="1" applyAlignment="1">
      <alignment horizontal="center" vertical="center" wrapText="1" readingOrder="1"/>
    </xf>
    <xf numFmtId="0" fontId="48" fillId="12" borderId="6" xfId="14" applyNumberFormat="1" applyFont="1" applyFill="1" applyBorder="1" applyAlignment="1">
      <alignment horizontal="center" vertical="center" wrapText="1" readingOrder="1"/>
    </xf>
    <xf numFmtId="0" fontId="37" fillId="12" borderId="5" xfId="14" applyNumberFormat="1" applyFont="1" applyFill="1" applyBorder="1" applyAlignment="1">
      <alignment horizontal="center" vertical="center" wrapText="1" readingOrder="1"/>
    </xf>
    <xf numFmtId="0" fontId="37" fillId="12" borderId="7" xfId="14" applyNumberFormat="1" applyFont="1" applyFill="1" applyBorder="1" applyAlignment="1">
      <alignment horizontal="center" vertical="center" wrapText="1" readingOrder="1"/>
    </xf>
    <xf numFmtId="0" fontId="37" fillId="12" borderId="12" xfId="14" applyNumberFormat="1" applyFont="1" applyFill="1" applyBorder="1" applyAlignment="1">
      <alignment horizontal="center" vertical="center" wrapText="1" readingOrder="1"/>
    </xf>
    <xf numFmtId="0" fontId="30" fillId="0" borderId="15" xfId="0" applyFont="1" applyBorder="1" applyAlignment="1">
      <alignment horizontal="left" vertical="center" wrapText="1"/>
    </xf>
    <xf numFmtId="0" fontId="19"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61" fillId="3" borderId="1" xfId="0" applyFont="1" applyFill="1" applyBorder="1" applyAlignment="1">
      <alignment horizontal="center" vertical="center" wrapText="1"/>
    </xf>
    <xf numFmtId="0" fontId="61" fillId="0" borderId="5" xfId="0" applyFont="1" applyBorder="1" applyAlignment="1">
      <alignment horizontal="left" vertical="center" wrapText="1"/>
    </xf>
    <xf numFmtId="0" fontId="61" fillId="0" borderId="12" xfId="0" applyFont="1" applyBorder="1" applyAlignment="1">
      <alignment horizontal="left" vertical="center" wrapText="1"/>
    </xf>
    <xf numFmtId="0" fontId="59" fillId="0" borderId="13" xfId="0" applyFont="1" applyFill="1" applyBorder="1" applyAlignment="1">
      <alignment horizontal="center" vertical="center" wrapText="1"/>
    </xf>
    <xf numFmtId="0" fontId="59" fillId="0" borderId="20"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4"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2"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7" xfId="0" applyFont="1" applyFill="1" applyBorder="1" applyAlignment="1">
      <alignment horizontal="center" vertical="center" wrapText="1"/>
    </xf>
    <xf numFmtId="170" fontId="59" fillId="3" borderId="5" xfId="0" applyNumberFormat="1" applyFont="1" applyFill="1" applyBorder="1" applyAlignment="1">
      <alignment horizontal="left" vertical="center" wrapText="1"/>
    </xf>
    <xf numFmtId="170" fontId="59" fillId="3" borderId="12" xfId="0" applyNumberFormat="1" applyFont="1" applyFill="1" applyBorder="1" applyAlignment="1">
      <alignment horizontal="left" vertical="center" wrapText="1"/>
    </xf>
    <xf numFmtId="171" fontId="62" fillId="3" borderId="1" xfId="0" applyNumberFormat="1" applyFont="1" applyFill="1" applyBorder="1" applyAlignment="1">
      <alignment horizontal="right" vertical="center" wrapText="1"/>
    </xf>
    <xf numFmtId="167" fontId="62" fillId="3" borderId="1" xfId="9" applyFont="1" applyFill="1" applyBorder="1" applyAlignment="1">
      <alignment horizontal="right" vertical="center" wrapText="1"/>
    </xf>
    <xf numFmtId="14" fontId="64" fillId="4" borderId="5" xfId="0" applyNumberFormat="1" applyFont="1" applyFill="1" applyBorder="1" applyAlignment="1">
      <alignment horizontal="right" vertical="center" wrapText="1"/>
    </xf>
    <xf numFmtId="14" fontId="64" fillId="4" borderId="12" xfId="0" applyNumberFormat="1" applyFont="1" applyFill="1" applyBorder="1" applyAlignment="1">
      <alignment horizontal="right" vertical="center" wrapText="1"/>
    </xf>
    <xf numFmtId="0" fontId="63" fillId="0" borderId="0" xfId="0" applyFont="1" applyBorder="1" applyAlignment="1">
      <alignment horizontal="center" vertical="center" wrapText="1"/>
    </xf>
    <xf numFmtId="0" fontId="30" fillId="0" borderId="0" xfId="0" applyFont="1" applyBorder="1" applyAlignment="1">
      <alignment horizontal="left" vertical="center" wrapText="1"/>
    </xf>
    <xf numFmtId="0" fontId="61" fillId="0" borderId="1" xfId="0" applyFont="1" applyBorder="1" applyAlignment="1">
      <alignment horizontal="center" vertical="center" wrapText="1"/>
    </xf>
    <xf numFmtId="0" fontId="56" fillId="0" borderId="1" xfId="0" applyFont="1" applyFill="1" applyBorder="1" applyAlignment="1">
      <alignment horizontal="center" vertical="center" wrapText="1"/>
    </xf>
    <xf numFmtId="0" fontId="61" fillId="0" borderId="1" xfId="0" quotePrefix="1" applyFont="1" applyBorder="1" applyAlignment="1">
      <alignment horizontal="center" vertical="center" wrapText="1"/>
    </xf>
    <xf numFmtId="0" fontId="61" fillId="0" borderId="0" xfId="0" quotePrefix="1" applyFont="1" applyAlignment="1">
      <alignment horizontal="center" vertical="center"/>
    </xf>
    <xf numFmtId="167" fontId="140" fillId="3" borderId="1" xfId="7" applyFont="1" applyFill="1" applyBorder="1" applyAlignment="1">
      <alignment horizontal="center"/>
    </xf>
    <xf numFmtId="0" fontId="54" fillId="0" borderId="1" xfId="0" applyFont="1" applyBorder="1" applyAlignment="1">
      <alignment horizontal="center"/>
    </xf>
    <xf numFmtId="0" fontId="23" fillId="3" borderId="1" xfId="14" applyNumberFormat="1" applyFont="1" applyFill="1" applyBorder="1" applyAlignment="1">
      <alignment horizontal="center" vertical="center" wrapText="1" readingOrder="1"/>
    </xf>
    <xf numFmtId="0" fontId="54" fillId="16" borderId="1" xfId="0" applyFont="1" applyFill="1" applyBorder="1" applyAlignment="1">
      <alignment horizontal="center"/>
    </xf>
    <xf numFmtId="167" fontId="54" fillId="3" borderId="18" xfId="7" applyFont="1" applyFill="1" applyBorder="1" applyAlignment="1">
      <alignment horizontal="center"/>
    </xf>
    <xf numFmtId="167" fontId="54" fillId="0" borderId="5" xfId="7" applyFont="1" applyBorder="1" applyAlignment="1">
      <alignment horizontal="center" vertical="center"/>
    </xf>
    <xf numFmtId="167" fontId="54" fillId="0" borderId="12" xfId="7" applyFont="1" applyBorder="1" applyAlignment="1">
      <alignment horizontal="center" vertical="center"/>
    </xf>
    <xf numFmtId="0" fontId="7" fillId="0" borderId="0" xfId="14" applyFont="1" applyFill="1" applyBorder="1" applyAlignment="1">
      <alignment horizontal="center"/>
    </xf>
    <xf numFmtId="0" fontId="14" fillId="0" borderId="0" xfId="14" applyFont="1" applyFill="1" applyBorder="1" applyAlignment="1">
      <alignment horizontal="center"/>
    </xf>
    <xf numFmtId="167" fontId="18" fillId="0" borderId="0" xfId="7" applyFont="1" applyFill="1" applyBorder="1" applyAlignment="1">
      <alignment horizontal="center"/>
    </xf>
    <xf numFmtId="0" fontId="60" fillId="14" borderId="1" xfId="14" applyNumberFormat="1" applyFont="1" applyFill="1" applyBorder="1" applyAlignment="1">
      <alignment horizontal="center" vertical="center" wrapText="1" readingOrder="1"/>
    </xf>
    <xf numFmtId="0" fontId="60" fillId="15" borderId="1" xfId="14" applyNumberFormat="1" applyFont="1" applyFill="1" applyBorder="1" applyAlignment="1">
      <alignment horizontal="center" vertical="center" wrapText="1" readingOrder="1"/>
    </xf>
    <xf numFmtId="0" fontId="60" fillId="13" borderId="1" xfId="14" applyNumberFormat="1" applyFont="1" applyFill="1" applyBorder="1" applyAlignment="1">
      <alignment horizontal="center" vertical="center" wrapText="1" readingOrder="1"/>
    </xf>
    <xf numFmtId="0" fontId="43" fillId="14" borderId="5" xfId="14" applyNumberFormat="1" applyFont="1" applyFill="1" applyBorder="1" applyAlignment="1">
      <alignment horizontal="center" vertical="center" wrapText="1" readingOrder="1"/>
    </xf>
    <xf numFmtId="0" fontId="43" fillId="14" borderId="7" xfId="14" applyNumberFormat="1" applyFont="1" applyFill="1" applyBorder="1" applyAlignment="1">
      <alignment horizontal="center" vertical="center" wrapText="1" readingOrder="1"/>
    </xf>
    <xf numFmtId="0" fontId="114" fillId="3" borderId="0" xfId="0" applyFont="1" applyFill="1" applyBorder="1" applyAlignment="1">
      <alignment horizontal="center" vertical="center" wrapText="1"/>
    </xf>
    <xf numFmtId="176" fontId="104" fillId="3" borderId="1" xfId="14" applyNumberFormat="1" applyFont="1" applyFill="1" applyBorder="1" applyAlignment="1">
      <alignment horizontal="center" vertical="center" wrapText="1"/>
    </xf>
    <xf numFmtId="0" fontId="104" fillId="3" borderId="1" xfId="14" applyFont="1" applyFill="1" applyBorder="1" applyAlignment="1">
      <alignment horizontal="center" vertical="center" wrapText="1"/>
    </xf>
    <xf numFmtId="176" fontId="104" fillId="3" borderId="5" xfId="14" applyNumberFormat="1" applyFont="1" applyFill="1" applyBorder="1" applyAlignment="1">
      <alignment horizontal="center" wrapText="1"/>
    </xf>
    <xf numFmtId="0" fontId="104" fillId="3" borderId="12" xfId="14" applyFont="1" applyFill="1" applyBorder="1" applyAlignment="1">
      <alignment horizontal="center" wrapText="1"/>
    </xf>
    <xf numFmtId="39" fontId="35" fillId="5" borderId="1" xfId="14" applyNumberFormat="1" applyFont="1" applyFill="1" applyBorder="1" applyAlignment="1">
      <alignment horizontal="center" vertical="center" wrapText="1" readingOrder="1"/>
    </xf>
    <xf numFmtId="0" fontId="12" fillId="26" borderId="5" xfId="14" applyNumberFormat="1" applyFont="1" applyFill="1" applyBorder="1" applyAlignment="1">
      <alignment horizontal="center" vertical="center" wrapText="1" readingOrder="1"/>
    </xf>
    <xf numFmtId="0" fontId="12" fillId="26" borderId="7" xfId="14" applyNumberFormat="1" applyFont="1" applyFill="1" applyBorder="1" applyAlignment="1">
      <alignment horizontal="center" vertical="center" wrapText="1" readingOrder="1"/>
    </xf>
    <xf numFmtId="0" fontId="12" fillId="26" borderId="12" xfId="14" applyNumberFormat="1" applyFont="1" applyFill="1" applyBorder="1" applyAlignment="1">
      <alignment horizontal="center" vertical="center" wrapText="1" readingOrder="1"/>
    </xf>
    <xf numFmtId="0" fontId="112" fillId="4" borderId="5" xfId="14" applyFont="1" applyFill="1" applyBorder="1" applyAlignment="1">
      <alignment horizontal="center" vertical="center"/>
    </xf>
    <xf numFmtId="0" fontId="112" fillId="4" borderId="7" xfId="14" applyFont="1" applyFill="1" applyBorder="1" applyAlignment="1">
      <alignment horizontal="center" vertical="center"/>
    </xf>
    <xf numFmtId="39" fontId="104" fillId="4" borderId="19" xfId="14" applyNumberFormat="1" applyFont="1" applyFill="1" applyBorder="1" applyAlignment="1">
      <alignment horizontal="center" vertical="center" wrapText="1"/>
    </xf>
    <xf numFmtId="39" fontId="104" fillId="4" borderId="18" xfId="14" applyNumberFormat="1" applyFont="1" applyFill="1" applyBorder="1" applyAlignment="1">
      <alignment horizontal="center" vertical="center" wrapText="1"/>
    </xf>
    <xf numFmtId="39" fontId="104" fillId="4" borderId="17" xfId="14" applyNumberFormat="1" applyFont="1" applyFill="1" applyBorder="1" applyAlignment="1">
      <alignment horizontal="center" vertical="center" wrapText="1"/>
    </xf>
    <xf numFmtId="0" fontId="104" fillId="4" borderId="1" xfId="14" applyFont="1" applyFill="1" applyBorder="1" applyAlignment="1">
      <alignment horizontal="center" vertical="center" wrapText="1"/>
    </xf>
    <xf numFmtId="0" fontId="88" fillId="5" borderId="13" xfId="14" applyNumberFormat="1" applyFont="1" applyFill="1" applyBorder="1" applyAlignment="1">
      <alignment horizontal="center" vertical="center" wrapText="1" readingOrder="1"/>
    </xf>
    <xf numFmtId="0" fontId="88" fillId="5" borderId="20" xfId="14" applyNumberFormat="1" applyFont="1" applyFill="1" applyBorder="1" applyAlignment="1">
      <alignment horizontal="center" vertical="center" wrapText="1" readingOrder="1"/>
    </xf>
    <xf numFmtId="0" fontId="88" fillId="5" borderId="14" xfId="14" applyNumberFormat="1" applyFont="1" applyFill="1" applyBorder="1" applyAlignment="1">
      <alignment horizontal="center" vertical="center" wrapText="1" readingOrder="1"/>
    </xf>
    <xf numFmtId="0" fontId="88" fillId="5" borderId="4" xfId="14" applyNumberFormat="1" applyFont="1" applyFill="1" applyBorder="1" applyAlignment="1">
      <alignment horizontal="center" vertical="center" wrapText="1" readingOrder="1"/>
    </xf>
    <xf numFmtId="0" fontId="88" fillId="5" borderId="0" xfId="14" applyNumberFormat="1" applyFont="1" applyFill="1" applyBorder="1" applyAlignment="1">
      <alignment horizontal="center" vertical="center" wrapText="1" readingOrder="1"/>
    </xf>
    <xf numFmtId="0" fontId="88" fillId="5" borderId="2" xfId="14" applyNumberFormat="1" applyFont="1" applyFill="1" applyBorder="1" applyAlignment="1">
      <alignment horizontal="center" vertical="center" wrapText="1" readingOrder="1"/>
    </xf>
    <xf numFmtId="0" fontId="88" fillId="5" borderId="19" xfId="14" applyNumberFormat="1" applyFont="1" applyFill="1" applyBorder="1" applyAlignment="1">
      <alignment horizontal="center" vertical="center" wrapText="1" readingOrder="1"/>
    </xf>
    <xf numFmtId="0" fontId="88" fillId="5" borderId="18" xfId="14" applyNumberFormat="1" applyFont="1" applyFill="1" applyBorder="1" applyAlignment="1">
      <alignment horizontal="center" vertical="center" wrapText="1" readingOrder="1"/>
    </xf>
    <xf numFmtId="0" fontId="88" fillId="5" borderId="17" xfId="14" applyNumberFormat="1" applyFont="1" applyFill="1" applyBorder="1" applyAlignment="1">
      <alignment horizontal="center" vertical="center" wrapText="1" readingOrder="1"/>
    </xf>
    <xf numFmtId="39" fontId="104" fillId="4" borderId="1" xfId="14" applyNumberFormat="1" applyFont="1" applyFill="1" applyBorder="1" applyAlignment="1">
      <alignment horizontal="center" vertical="center" wrapText="1"/>
    </xf>
    <xf numFmtId="39" fontId="104" fillId="3" borderId="19" xfId="14" applyNumberFormat="1" applyFont="1" applyFill="1" applyBorder="1" applyAlignment="1">
      <alignment horizontal="center" vertical="center"/>
    </xf>
    <xf numFmtId="39" fontId="104" fillId="3" borderId="18" xfId="14" applyNumberFormat="1" applyFont="1" applyFill="1" applyBorder="1" applyAlignment="1">
      <alignment horizontal="center" vertical="center"/>
    </xf>
    <xf numFmtId="39" fontId="104" fillId="3" borderId="17" xfId="14" applyNumberFormat="1" applyFont="1" applyFill="1" applyBorder="1" applyAlignment="1">
      <alignment horizontal="center" vertical="center"/>
    </xf>
    <xf numFmtId="9" fontId="112" fillId="3" borderId="5" xfId="17" applyFont="1" applyFill="1" applyBorder="1" applyAlignment="1">
      <alignment horizontal="center" vertical="center"/>
    </xf>
    <xf numFmtId="9" fontId="112" fillId="3" borderId="7" xfId="17" applyFont="1" applyFill="1" applyBorder="1" applyAlignment="1">
      <alignment horizontal="center" vertical="center"/>
    </xf>
    <xf numFmtId="9" fontId="112" fillId="3" borderId="12" xfId="17" applyFont="1" applyFill="1" applyBorder="1" applyAlignment="1">
      <alignment horizontal="center" vertical="center"/>
    </xf>
    <xf numFmtId="0" fontId="75" fillId="12" borderId="0" xfId="0" applyFont="1" applyFill="1" applyBorder="1" applyAlignment="1">
      <alignment horizontal="center" vertical="center" wrapText="1"/>
    </xf>
    <xf numFmtId="0" fontId="75" fillId="12" borderId="18" xfId="0" applyFont="1" applyFill="1" applyBorder="1" applyAlignment="1">
      <alignment horizontal="center" vertical="center" wrapText="1"/>
    </xf>
    <xf numFmtId="175" fontId="76" fillId="4" borderId="1" xfId="7" applyNumberFormat="1" applyFont="1" applyFill="1" applyBorder="1" applyAlignment="1">
      <alignment horizontal="center" vertical="center" wrapText="1"/>
    </xf>
    <xf numFmtId="0" fontId="72" fillId="13" borderId="19" xfId="14" applyNumberFormat="1" applyFont="1" applyFill="1" applyBorder="1" applyAlignment="1">
      <alignment horizontal="center" vertical="center" wrapText="1" readingOrder="1"/>
    </xf>
    <xf numFmtId="0" fontId="72" fillId="13" borderId="18" xfId="14" applyNumberFormat="1" applyFont="1" applyFill="1" applyBorder="1" applyAlignment="1">
      <alignment horizontal="center" vertical="center" wrapText="1" readingOrder="1"/>
    </xf>
    <xf numFmtId="0" fontId="137" fillId="9" borderId="6" xfId="0" applyFont="1" applyFill="1" applyBorder="1" applyAlignment="1">
      <alignment horizontal="center" vertical="center" wrapText="1"/>
    </xf>
    <xf numFmtId="0" fontId="137" fillId="9" borderId="8" xfId="0" applyFont="1" applyFill="1" applyBorder="1" applyAlignment="1">
      <alignment horizontal="center" vertical="center" wrapText="1"/>
    </xf>
    <xf numFmtId="14" fontId="137" fillId="9" borderId="6" xfId="0" applyNumberFormat="1" applyFont="1" applyFill="1" applyBorder="1" applyAlignment="1">
      <alignment horizontal="center" vertical="center" wrapText="1"/>
    </xf>
    <xf numFmtId="14" fontId="137" fillId="9" borderId="8" xfId="0" applyNumberFormat="1" applyFont="1" applyFill="1" applyBorder="1" applyAlignment="1">
      <alignment horizontal="center" vertical="center" wrapText="1"/>
    </xf>
    <xf numFmtId="0" fontId="118" fillId="9" borderId="6" xfId="0" applyFont="1" applyFill="1" applyBorder="1" applyAlignment="1">
      <alignment horizontal="center" vertical="center" wrapText="1"/>
    </xf>
    <xf numFmtId="0" fontId="118" fillId="9" borderId="8" xfId="0" applyFont="1" applyFill="1" applyBorder="1" applyAlignment="1">
      <alignment horizontal="center" vertical="center" wrapText="1"/>
    </xf>
    <xf numFmtId="44" fontId="137" fillId="9" borderId="6" xfId="18" applyFont="1" applyFill="1" applyBorder="1" applyAlignment="1">
      <alignment horizontal="center" vertical="center" wrapText="1"/>
    </xf>
    <xf numFmtId="44" fontId="137" fillId="9" borderId="8" xfId="18" applyFont="1" applyFill="1" applyBorder="1" applyAlignment="1">
      <alignment horizontal="center" vertical="center" wrapText="1"/>
    </xf>
    <xf numFmtId="15" fontId="138" fillId="9" borderId="6" xfId="0" applyNumberFormat="1" applyFont="1" applyFill="1" applyBorder="1" applyAlignment="1">
      <alignment horizontal="center" vertical="center" wrapText="1"/>
    </xf>
    <xf numFmtId="15" fontId="138" fillId="0" borderId="8" xfId="0" applyNumberFormat="1" applyFont="1" applyFill="1" applyBorder="1" applyAlignment="1">
      <alignment horizontal="center" vertical="center" wrapText="1"/>
    </xf>
    <xf numFmtId="0" fontId="138" fillId="9" borderId="6" xfId="0" applyFont="1" applyFill="1" applyBorder="1" applyAlignment="1">
      <alignment horizontal="center" vertical="center" wrapText="1"/>
    </xf>
    <xf numFmtId="0" fontId="138" fillId="0" borderId="8" xfId="0" applyFont="1" applyFill="1" applyBorder="1" applyAlignment="1">
      <alignment horizontal="center" vertical="center" wrapText="1"/>
    </xf>
    <xf numFmtId="170" fontId="138" fillId="9" borderId="6" xfId="11" applyNumberFormat="1" applyFont="1" applyFill="1" applyBorder="1" applyAlignment="1">
      <alignment horizontal="center" vertical="center" wrapText="1"/>
    </xf>
    <xf numFmtId="170" fontId="138" fillId="0" borderId="8" xfId="11" applyNumberFormat="1" applyFont="1" applyFill="1" applyBorder="1" applyAlignment="1">
      <alignment horizontal="center" vertical="center" wrapText="1"/>
    </xf>
    <xf numFmtId="0" fontId="118" fillId="0" borderId="8" xfId="0" applyFont="1" applyFill="1" applyBorder="1" applyAlignment="1">
      <alignment horizontal="center" vertical="center" wrapText="1"/>
    </xf>
    <xf numFmtId="0" fontId="137" fillId="0" borderId="8" xfId="0" applyFont="1" applyFill="1" applyBorder="1" applyAlignment="1">
      <alignment horizontal="center" vertical="center" wrapText="1"/>
    </xf>
    <xf numFmtId="0" fontId="19" fillId="9" borderId="6"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18" fillId="3" borderId="6" xfId="0" applyFont="1" applyFill="1" applyBorder="1" applyAlignment="1">
      <alignment horizontal="center" vertical="center" wrapText="1"/>
    </xf>
    <xf numFmtId="0" fontId="118" fillId="3" borderId="8" xfId="0" applyFont="1" applyFill="1" applyBorder="1" applyAlignment="1">
      <alignment horizontal="center" vertical="center" wrapText="1"/>
    </xf>
    <xf numFmtId="0" fontId="118" fillId="9" borderId="9"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9" borderId="1" xfId="0" applyFont="1" applyFill="1" applyBorder="1" applyAlignment="1">
      <alignment horizontal="center" vertical="center" wrapText="1"/>
    </xf>
    <xf numFmtId="14" fontId="19" fillId="9" borderId="6" xfId="0" applyNumberFormat="1" applyFont="1" applyFill="1" applyBorder="1" applyAlignment="1">
      <alignment horizontal="center" vertical="center" wrapText="1"/>
    </xf>
    <xf numFmtId="14" fontId="19" fillId="9" borderId="9" xfId="0" applyNumberFormat="1" applyFont="1" applyFill="1" applyBorder="1" applyAlignment="1">
      <alignment horizontal="center" vertical="center" wrapText="1"/>
    </xf>
    <xf numFmtId="0" fontId="134" fillId="0" borderId="0" xfId="0" applyFont="1" applyBorder="1" applyAlignment="1">
      <alignment horizontal="center" vertical="center" wrapText="1"/>
    </xf>
    <xf numFmtId="0" fontId="137" fillId="9" borderId="6" xfId="0" applyNumberFormat="1" applyFont="1" applyFill="1" applyBorder="1" applyAlignment="1">
      <alignment horizontal="center" vertical="center" wrapText="1"/>
    </xf>
    <xf numFmtId="0" fontId="137" fillId="9" borderId="8" xfId="0" applyNumberFormat="1" applyFont="1" applyFill="1" applyBorder="1" applyAlignment="1">
      <alignment horizontal="center" vertical="center" wrapText="1"/>
    </xf>
    <xf numFmtId="170" fontId="126" fillId="3" borderId="5" xfId="0" applyNumberFormat="1" applyFont="1" applyFill="1" applyBorder="1" applyAlignment="1">
      <alignment horizontal="left" vertical="center" wrapText="1"/>
    </xf>
    <xf numFmtId="170" fontId="126" fillId="3" borderId="12" xfId="0" applyNumberFormat="1" applyFont="1" applyFill="1" applyBorder="1" applyAlignment="1">
      <alignment horizontal="left" vertical="center" wrapText="1"/>
    </xf>
    <xf numFmtId="167" fontId="1" fillId="3" borderId="0" xfId="7" applyFont="1" applyFill="1" applyBorder="1" applyAlignment="1">
      <alignment horizontal="center"/>
    </xf>
    <xf numFmtId="167" fontId="1" fillId="3" borderId="0" xfId="7" applyFont="1" applyFill="1" applyBorder="1" applyAlignment="1">
      <alignment horizontal="center" vertical="center" wrapText="1"/>
    </xf>
    <xf numFmtId="172" fontId="19" fillId="9" borderId="6" xfId="0" applyNumberFormat="1" applyFont="1" applyFill="1" applyBorder="1" applyAlignment="1">
      <alignment horizontal="center" vertical="center" wrapText="1"/>
    </xf>
    <xf numFmtId="172" fontId="19" fillId="9" borderId="9" xfId="0" applyNumberFormat="1" applyFont="1" applyFill="1" applyBorder="1" applyAlignment="1">
      <alignment horizontal="center" vertical="center" wrapText="1"/>
    </xf>
  </cellXfs>
  <cellStyles count="19">
    <cellStyle name="Énfasis1" xfId="1" builtinId="29"/>
    <cellStyle name="Hipervínculo" xfId="2" builtinId="8"/>
    <cellStyle name="Millares [0] 2" xfId="3"/>
    <cellStyle name="Millares 2" xfId="4"/>
    <cellStyle name="Millares 3" xfId="5"/>
    <cellStyle name="Millares 4" xfId="6"/>
    <cellStyle name="Moneda" xfId="18" builtinId="4"/>
    <cellStyle name="Moneda [0]" xfId="7" builtinId="7"/>
    <cellStyle name="Moneda [0] 2" xfId="8"/>
    <cellStyle name="Moneda [0] 2 2" xfId="9"/>
    <cellStyle name="Moneda 2" xfId="10"/>
    <cellStyle name="Moneda 2 2" xfId="11"/>
    <cellStyle name="Moneda 3" xfId="12"/>
    <cellStyle name="Moneda 4" xfId="13"/>
    <cellStyle name="Normal" xfId="0" builtinId="0"/>
    <cellStyle name="Normal 2" xfId="14"/>
    <cellStyle name="Normal 3" xfId="15"/>
    <cellStyle name="Normal 6" xfId="16"/>
    <cellStyle name="Porcentaje" xfId="17" builtinId="5"/>
  </cellStyles>
  <dxfs count="1">
    <dxf>
      <fill>
        <patternFill patternType="solid">
          <fgColor rgb="FFFFFFFF"/>
          <bgColor rgb="FF00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fyara\Mis%20documentos\BASE%20DE%20DATOS%20CONTRATOS\BASES%20CONTRATOS\CUADRO%20DE%20REPARTO%20GGC%20Y%20CUADRO%20DE%20SEGUIMIENTO%20A%20LOS%20CONTRATOS%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yara\Escritorio\BAS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Hoja1"/>
      <sheetName val="SEGUIMIENTO CONTRATOS 2018 (2)"/>
      <sheetName val="TABLA DINAMICA"/>
      <sheetName val="SEGUIMIENTO CONTRATOS 2018"/>
    </sheetNames>
    <sheetDataSet>
      <sheetData sheetId="0" refreshError="1"/>
      <sheetData sheetId="1"/>
      <sheetData sheetId="2"/>
      <sheetData sheetId="3"/>
      <sheetData sheetId="4">
        <row r="1">
          <cell r="A1" t="str">
            <v>LINEA PAA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9"/>
  <sheetViews>
    <sheetView topLeftCell="A53" zoomScale="59" zoomScaleNormal="59" workbookViewId="0">
      <selection activeCell="T69" sqref="A2:T69"/>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7109375" customWidth="1"/>
    <col min="10" max="16" width="0" hidden="1" customWidth="1"/>
    <col min="17" max="17" width="23.5703125" customWidth="1"/>
    <col min="18" max="18" width="24.42578125" customWidth="1"/>
    <col min="19" max="19" width="23" customWidth="1"/>
    <col min="20" max="20" width="26.85546875" customWidth="1"/>
  </cols>
  <sheetData>
    <row r="2" spans="1:20" ht="30" x14ac:dyDescent="0.25">
      <c r="A2" s="57" t="s">
        <v>87</v>
      </c>
      <c r="B2" s="57" t="s">
        <v>87</v>
      </c>
      <c r="C2" s="57" t="s">
        <v>87</v>
      </c>
      <c r="D2" s="57" t="s">
        <v>87</v>
      </c>
      <c r="E2" s="57" t="s">
        <v>87</v>
      </c>
      <c r="F2" s="57" t="s">
        <v>87</v>
      </c>
      <c r="G2" s="57" t="s">
        <v>87</v>
      </c>
      <c r="H2" s="57" t="s">
        <v>87</v>
      </c>
      <c r="I2" s="58" t="s">
        <v>87</v>
      </c>
      <c r="J2" s="802" t="s">
        <v>325</v>
      </c>
      <c r="K2" s="802" t="s">
        <v>326</v>
      </c>
      <c r="L2" s="802" t="s">
        <v>327</v>
      </c>
      <c r="M2" s="132"/>
      <c r="N2" s="132" t="s">
        <v>87</v>
      </c>
      <c r="O2" s="132" t="s">
        <v>87</v>
      </c>
      <c r="P2" s="133" t="s">
        <v>328</v>
      </c>
      <c r="Q2" s="134"/>
      <c r="R2" s="134"/>
      <c r="S2" s="134"/>
      <c r="T2" s="134"/>
    </row>
    <row r="3" spans="1:20" ht="120" x14ac:dyDescent="0.25">
      <c r="A3" s="572" t="s">
        <v>111</v>
      </c>
      <c r="B3" s="572" t="s">
        <v>110</v>
      </c>
      <c r="C3" s="572" t="s">
        <v>109</v>
      </c>
      <c r="D3" s="572" t="s">
        <v>108</v>
      </c>
      <c r="E3" s="572" t="s">
        <v>107</v>
      </c>
      <c r="F3" s="572" t="s">
        <v>106</v>
      </c>
      <c r="G3" s="572" t="s">
        <v>105</v>
      </c>
      <c r="H3" s="572" t="s">
        <v>104</v>
      </c>
      <c r="I3" s="59" t="s">
        <v>103</v>
      </c>
      <c r="J3" s="803"/>
      <c r="K3" s="803"/>
      <c r="L3" s="803"/>
      <c r="M3" s="59" t="s">
        <v>332</v>
      </c>
      <c r="N3" s="59" t="s">
        <v>333</v>
      </c>
      <c r="O3" s="146" t="s">
        <v>334</v>
      </c>
      <c r="P3" s="59" t="s">
        <v>335</v>
      </c>
      <c r="Q3" s="37" t="s">
        <v>174</v>
      </c>
      <c r="R3" s="37" t="s">
        <v>187</v>
      </c>
      <c r="S3" s="37" t="s">
        <v>188</v>
      </c>
      <c r="T3" s="574" t="s">
        <v>172</v>
      </c>
    </row>
    <row r="4" spans="1:20" ht="22.5" x14ac:dyDescent="0.35">
      <c r="A4" s="800" t="s">
        <v>114</v>
      </c>
      <c r="B4" s="800"/>
      <c r="C4" s="800"/>
      <c r="D4" s="800"/>
      <c r="E4" s="800"/>
      <c r="F4" s="800"/>
      <c r="G4" s="800"/>
      <c r="H4" s="800"/>
      <c r="I4" s="800"/>
      <c r="J4" s="573"/>
      <c r="K4" s="573"/>
      <c r="L4" s="573"/>
      <c r="M4" s="45"/>
      <c r="N4" s="45"/>
      <c r="O4" s="46"/>
      <c r="P4" s="46"/>
      <c r="Q4" s="46"/>
      <c r="R4" s="46"/>
      <c r="S4" s="46"/>
      <c r="T4" s="575"/>
    </row>
    <row r="5" spans="1:20" ht="36" x14ac:dyDescent="0.25">
      <c r="A5" s="265">
        <v>2</v>
      </c>
      <c r="B5" s="265">
        <v>0</v>
      </c>
      <c r="C5" s="265">
        <v>4</v>
      </c>
      <c r="D5" s="265">
        <v>1</v>
      </c>
      <c r="E5" s="265">
        <v>6</v>
      </c>
      <c r="F5" s="38" t="s">
        <v>147</v>
      </c>
      <c r="G5" s="25">
        <v>10</v>
      </c>
      <c r="H5" s="25" t="s">
        <v>88</v>
      </c>
      <c r="I5" s="36" t="s">
        <v>364</v>
      </c>
      <c r="J5" s="639">
        <v>26312050</v>
      </c>
      <c r="K5" s="639">
        <v>100121585</v>
      </c>
      <c r="L5" s="639">
        <v>22000000</v>
      </c>
      <c r="M5" s="620"/>
      <c r="N5" s="45"/>
      <c r="O5" s="45"/>
      <c r="P5" s="45">
        <f>SUM(M5+N5-O5)</f>
        <v>0</v>
      </c>
      <c r="Q5" s="266"/>
      <c r="R5" s="267"/>
      <c r="S5" s="266"/>
      <c r="T5" s="266">
        <f>SUM(R5-S5)</f>
        <v>0</v>
      </c>
    </row>
    <row r="6" spans="1:20" ht="36" x14ac:dyDescent="0.25">
      <c r="A6" s="38">
        <v>2</v>
      </c>
      <c r="B6" s="38">
        <v>0</v>
      </c>
      <c r="C6" s="38">
        <v>4</v>
      </c>
      <c r="D6" s="38">
        <v>1</v>
      </c>
      <c r="E6" s="38">
        <v>8</v>
      </c>
      <c r="F6" s="38" t="s">
        <v>147</v>
      </c>
      <c r="G6" s="25">
        <v>10</v>
      </c>
      <c r="H6" s="25" t="s">
        <v>88</v>
      </c>
      <c r="I6" s="42" t="s">
        <v>365</v>
      </c>
      <c r="J6" s="639"/>
      <c r="K6" s="639">
        <v>223529923</v>
      </c>
      <c r="L6" s="639">
        <v>36257167</v>
      </c>
      <c r="M6" s="632">
        <v>20100403</v>
      </c>
      <c r="N6" s="45"/>
      <c r="O6" s="45"/>
      <c r="P6" s="45">
        <f t="shared" ref="P6:P11" si="0">SUM(M6+N6-O6)</f>
        <v>20100403</v>
      </c>
      <c r="Q6" s="266"/>
      <c r="R6" s="267"/>
      <c r="S6" s="266"/>
      <c r="T6" s="266">
        <f>SUM(R6-S6)</f>
        <v>0</v>
      </c>
    </row>
    <row r="7" spans="1:20" ht="36" x14ac:dyDescent="0.25">
      <c r="A7" s="38">
        <v>2</v>
      </c>
      <c r="B7" s="38">
        <v>0</v>
      </c>
      <c r="C7" s="38">
        <v>4</v>
      </c>
      <c r="D7" s="38">
        <v>1</v>
      </c>
      <c r="E7" s="38">
        <v>25</v>
      </c>
      <c r="F7" s="38" t="s">
        <v>147</v>
      </c>
      <c r="G7" s="25">
        <v>10</v>
      </c>
      <c r="H7" s="25" t="s">
        <v>88</v>
      </c>
      <c r="I7" s="36" t="s">
        <v>186</v>
      </c>
      <c r="J7" s="639">
        <v>162900</v>
      </c>
      <c r="K7" s="639">
        <v>12093007</v>
      </c>
      <c r="L7" s="639">
        <v>438400</v>
      </c>
      <c r="M7" s="632">
        <v>45000000</v>
      </c>
      <c r="N7" s="45"/>
      <c r="O7" s="45"/>
      <c r="P7" s="45">
        <f t="shared" si="0"/>
        <v>45000000</v>
      </c>
      <c r="Q7" s="266">
        <v>500000</v>
      </c>
      <c r="R7" s="266">
        <v>500000</v>
      </c>
      <c r="S7" s="266"/>
      <c r="T7" s="266">
        <f>SUM(R7-S7)</f>
        <v>500000</v>
      </c>
    </row>
    <row r="8" spans="1:20" ht="36" x14ac:dyDescent="0.25">
      <c r="A8" s="38">
        <v>2</v>
      </c>
      <c r="B8" s="38">
        <v>0</v>
      </c>
      <c r="C8" s="38">
        <v>4</v>
      </c>
      <c r="D8" s="38">
        <v>1</v>
      </c>
      <c r="E8" s="38">
        <v>26</v>
      </c>
      <c r="F8" s="38" t="s">
        <v>147</v>
      </c>
      <c r="G8" s="25">
        <v>10</v>
      </c>
      <c r="H8" s="25" t="s">
        <v>88</v>
      </c>
      <c r="I8" s="36" t="s">
        <v>154</v>
      </c>
      <c r="J8" s="639">
        <v>16357798</v>
      </c>
      <c r="K8" s="639"/>
      <c r="L8" s="639"/>
      <c r="M8" s="45"/>
      <c r="N8" s="45"/>
      <c r="O8" s="45"/>
      <c r="P8" s="45">
        <f t="shared" si="0"/>
        <v>0</v>
      </c>
      <c r="Q8" s="266"/>
      <c r="R8" s="266">
        <v>0</v>
      </c>
      <c r="S8" s="266"/>
      <c r="T8" s="266">
        <f>SUM(R8-S8)</f>
        <v>0</v>
      </c>
    </row>
    <row r="9" spans="1:20" ht="20.100000000000001" x14ac:dyDescent="0.35">
      <c r="A9" s="32"/>
      <c r="B9" s="32"/>
      <c r="C9" s="32"/>
      <c r="D9" s="32"/>
      <c r="E9" s="32"/>
      <c r="F9" s="32"/>
      <c r="G9" s="33"/>
      <c r="H9" s="33"/>
      <c r="I9" s="35" t="s">
        <v>135</v>
      </c>
      <c r="J9" s="277">
        <f t="shared" ref="J9:O9" si="1">SUM(J5:J8)</f>
        <v>42832748</v>
      </c>
      <c r="K9" s="277">
        <f t="shared" si="1"/>
        <v>335744515</v>
      </c>
      <c r="L9" s="277">
        <f t="shared" si="1"/>
        <v>58695567</v>
      </c>
      <c r="M9" s="278">
        <f t="shared" si="1"/>
        <v>65100403</v>
      </c>
      <c r="N9" s="278">
        <f t="shared" si="1"/>
        <v>0</v>
      </c>
      <c r="O9" s="278">
        <f t="shared" si="1"/>
        <v>0</v>
      </c>
      <c r="P9" s="278">
        <f t="shared" si="0"/>
        <v>65100403</v>
      </c>
      <c r="Q9" s="49">
        <f t="shared" ref="Q9:T9" si="2">SUM(Q5:Q8)</f>
        <v>500000</v>
      </c>
      <c r="R9" s="49">
        <f t="shared" si="2"/>
        <v>500000</v>
      </c>
      <c r="S9" s="49">
        <f t="shared" si="2"/>
        <v>0</v>
      </c>
      <c r="T9" s="49">
        <f t="shared" si="2"/>
        <v>500000</v>
      </c>
    </row>
    <row r="10" spans="1:20" ht="36" x14ac:dyDescent="0.25">
      <c r="A10" s="38">
        <v>2</v>
      </c>
      <c r="B10" s="38">
        <v>0</v>
      </c>
      <c r="C10" s="38">
        <v>4</v>
      </c>
      <c r="D10" s="38">
        <v>2</v>
      </c>
      <c r="E10" s="38">
        <v>2</v>
      </c>
      <c r="F10" s="38" t="s">
        <v>147</v>
      </c>
      <c r="G10" s="25">
        <v>10</v>
      </c>
      <c r="H10" s="25" t="s">
        <v>88</v>
      </c>
      <c r="I10" s="36" t="s">
        <v>366</v>
      </c>
      <c r="J10" s="639">
        <v>23500000</v>
      </c>
      <c r="K10" s="639"/>
      <c r="L10" s="639"/>
      <c r="M10" s="45"/>
      <c r="N10" s="45"/>
      <c r="O10" s="45"/>
      <c r="P10" s="45">
        <f t="shared" si="0"/>
        <v>0</v>
      </c>
      <c r="Q10" s="266"/>
      <c r="R10" s="266"/>
      <c r="S10" s="266"/>
      <c r="T10" s="266"/>
    </row>
    <row r="11" spans="1:20" ht="36" x14ac:dyDescent="0.25">
      <c r="A11" s="38">
        <v>2</v>
      </c>
      <c r="B11" s="38">
        <v>0</v>
      </c>
      <c r="C11" s="38">
        <v>4</v>
      </c>
      <c r="D11" s="38">
        <v>2</v>
      </c>
      <c r="E11" s="38">
        <v>2</v>
      </c>
      <c r="F11" s="38" t="s">
        <v>147</v>
      </c>
      <c r="G11" s="25">
        <v>10</v>
      </c>
      <c r="H11" s="25" t="s">
        <v>88</v>
      </c>
      <c r="I11" s="36" t="s">
        <v>367</v>
      </c>
      <c r="J11" s="639">
        <v>3540146</v>
      </c>
      <c r="K11" s="639">
        <v>12221424.199999999</v>
      </c>
      <c r="L11" s="639"/>
      <c r="M11" s="620">
        <v>20000000</v>
      </c>
      <c r="N11" s="45"/>
      <c r="O11" s="45"/>
      <c r="P11" s="45">
        <f t="shared" si="0"/>
        <v>20000000</v>
      </c>
      <c r="Q11" s="266"/>
      <c r="R11" s="266"/>
      <c r="S11" s="266"/>
      <c r="T11" s="266"/>
    </row>
    <row r="12" spans="1:20" ht="20.100000000000001" x14ac:dyDescent="0.35">
      <c r="A12" s="32"/>
      <c r="B12" s="32"/>
      <c r="C12" s="32"/>
      <c r="D12" s="32"/>
      <c r="E12" s="32"/>
      <c r="F12" s="32"/>
      <c r="G12" s="33"/>
      <c r="H12" s="33"/>
      <c r="I12" s="35" t="s">
        <v>368</v>
      </c>
      <c r="J12" s="277">
        <f t="shared" ref="J12:P12" si="3">SUM(J10:J11)</f>
        <v>27040146</v>
      </c>
      <c r="K12" s="277">
        <f t="shared" si="3"/>
        <v>12221424.199999999</v>
      </c>
      <c r="L12" s="277">
        <f t="shared" si="3"/>
        <v>0</v>
      </c>
      <c r="M12" s="278">
        <f t="shared" si="3"/>
        <v>20000000</v>
      </c>
      <c r="N12" s="278">
        <f t="shared" si="3"/>
        <v>0</v>
      </c>
      <c r="O12" s="278">
        <f t="shared" si="3"/>
        <v>0</v>
      </c>
      <c r="P12" s="278">
        <f t="shared" si="3"/>
        <v>20000000</v>
      </c>
      <c r="Q12" s="49"/>
      <c r="R12" s="49">
        <f t="shared" ref="R12:T12" si="4">SUM(R10:R11)</f>
        <v>0</v>
      </c>
      <c r="S12" s="49">
        <f t="shared" si="4"/>
        <v>0</v>
      </c>
      <c r="T12" s="49">
        <f t="shared" si="4"/>
        <v>0</v>
      </c>
    </row>
    <row r="13" spans="1:20" ht="22.9" customHeight="1" x14ac:dyDescent="0.35">
      <c r="A13" s="800" t="s">
        <v>127</v>
      </c>
      <c r="B13" s="800"/>
      <c r="C13" s="800"/>
      <c r="D13" s="800"/>
      <c r="E13" s="800"/>
      <c r="F13" s="800"/>
      <c r="G13" s="800"/>
      <c r="H13" s="800"/>
      <c r="I13" s="800"/>
      <c r="J13" s="25"/>
      <c r="K13" s="25"/>
      <c r="L13" s="25"/>
      <c r="M13" s="50"/>
      <c r="N13" s="50"/>
      <c r="O13" s="50"/>
      <c r="P13" s="50"/>
      <c r="Q13" s="293"/>
      <c r="R13" s="293"/>
      <c r="S13" s="293"/>
      <c r="T13" s="293"/>
    </row>
    <row r="14" spans="1:20" ht="36" x14ac:dyDescent="0.25">
      <c r="A14" s="38">
        <v>2</v>
      </c>
      <c r="B14" s="38">
        <v>0</v>
      </c>
      <c r="C14" s="38">
        <v>4</v>
      </c>
      <c r="D14" s="38">
        <v>4</v>
      </c>
      <c r="E14" s="38">
        <v>1</v>
      </c>
      <c r="F14" s="38" t="s">
        <v>147</v>
      </c>
      <c r="G14" s="25">
        <v>10</v>
      </c>
      <c r="H14" s="25" t="s">
        <v>88</v>
      </c>
      <c r="I14" s="42" t="s">
        <v>369</v>
      </c>
      <c r="J14" s="639">
        <v>47820000</v>
      </c>
      <c r="K14" s="639">
        <v>33224716</v>
      </c>
      <c r="L14" s="639">
        <v>39200000</v>
      </c>
      <c r="M14" s="632">
        <v>43000000</v>
      </c>
      <c r="N14" s="45"/>
      <c r="O14" s="45"/>
      <c r="P14" s="45">
        <f t="shared" ref="P14:P22" si="5">SUM(M14+N14-O14)</f>
        <v>43000000</v>
      </c>
      <c r="Q14" s="266"/>
      <c r="R14" s="266"/>
      <c r="S14" s="266"/>
      <c r="T14" s="266"/>
    </row>
    <row r="15" spans="1:20" ht="36" x14ac:dyDescent="0.25">
      <c r="A15" s="38">
        <v>2</v>
      </c>
      <c r="B15" s="38">
        <v>0</v>
      </c>
      <c r="C15" s="38">
        <v>4</v>
      </c>
      <c r="D15" s="38">
        <v>4</v>
      </c>
      <c r="E15" s="38">
        <v>2</v>
      </c>
      <c r="F15" s="38" t="s">
        <v>147</v>
      </c>
      <c r="G15" s="25">
        <v>10</v>
      </c>
      <c r="H15" s="25" t="s">
        <v>88</v>
      </c>
      <c r="I15" s="42" t="s">
        <v>370</v>
      </c>
      <c r="J15" s="639">
        <v>16709800</v>
      </c>
      <c r="K15" s="639">
        <v>20291970</v>
      </c>
      <c r="L15" s="639">
        <v>15172027</v>
      </c>
      <c r="M15" s="632">
        <v>24000000</v>
      </c>
      <c r="N15" s="45"/>
      <c r="O15" s="45"/>
      <c r="P15" s="45">
        <f t="shared" si="5"/>
        <v>24000000</v>
      </c>
      <c r="Q15" s="266"/>
      <c r="R15" s="266"/>
      <c r="S15" s="266"/>
      <c r="T15" s="266"/>
    </row>
    <row r="16" spans="1:20" ht="36" x14ac:dyDescent="0.25">
      <c r="A16" s="38">
        <v>2</v>
      </c>
      <c r="B16" s="38">
        <v>0</v>
      </c>
      <c r="C16" s="38">
        <v>4</v>
      </c>
      <c r="D16" s="38">
        <v>4</v>
      </c>
      <c r="E16" s="38">
        <v>6</v>
      </c>
      <c r="F16" s="38" t="s">
        <v>147</v>
      </c>
      <c r="G16" s="25">
        <v>10</v>
      </c>
      <c r="H16" s="25" t="s">
        <v>88</v>
      </c>
      <c r="I16" s="42" t="s">
        <v>371</v>
      </c>
      <c r="J16" s="639">
        <v>0</v>
      </c>
      <c r="K16" s="639">
        <v>2504440</v>
      </c>
      <c r="L16" s="639"/>
      <c r="M16" s="632">
        <v>8000000</v>
      </c>
      <c r="N16" s="45"/>
      <c r="O16" s="45"/>
      <c r="P16" s="45">
        <f t="shared" si="5"/>
        <v>8000000</v>
      </c>
      <c r="Q16" s="45"/>
      <c r="R16" s="45"/>
      <c r="S16" s="45"/>
      <c r="T16" s="45"/>
    </row>
    <row r="17" spans="1:20" ht="36" x14ac:dyDescent="0.25">
      <c r="A17" s="38">
        <v>2</v>
      </c>
      <c r="B17" s="38">
        <v>0</v>
      </c>
      <c r="C17" s="38">
        <v>4</v>
      </c>
      <c r="D17" s="38">
        <v>4</v>
      </c>
      <c r="E17" s="38">
        <v>15</v>
      </c>
      <c r="F17" s="38" t="s">
        <v>147</v>
      </c>
      <c r="G17" s="25">
        <v>10</v>
      </c>
      <c r="H17" s="25" t="s">
        <v>88</v>
      </c>
      <c r="I17" s="42" t="s">
        <v>155</v>
      </c>
      <c r="J17" s="639">
        <v>81595684</v>
      </c>
      <c r="K17" s="639">
        <v>53324791</v>
      </c>
      <c r="L17" s="639">
        <v>41517993</v>
      </c>
      <c r="M17" s="632">
        <v>182000000</v>
      </c>
      <c r="N17" s="45"/>
      <c r="O17" s="45"/>
      <c r="P17" s="45">
        <f>SUM(M17+N17-O17)</f>
        <v>182000000</v>
      </c>
      <c r="Q17" s="266"/>
      <c r="R17" s="266">
        <v>1900000</v>
      </c>
      <c r="S17" s="306"/>
      <c r="T17" s="266">
        <f>SUM(R17-S17)</f>
        <v>1900000</v>
      </c>
    </row>
    <row r="18" spans="1:20" ht="36" x14ac:dyDescent="0.25">
      <c r="A18" s="38">
        <v>2</v>
      </c>
      <c r="B18" s="38">
        <v>0</v>
      </c>
      <c r="C18" s="38">
        <v>4</v>
      </c>
      <c r="D18" s="38">
        <v>4</v>
      </c>
      <c r="E18" s="38">
        <v>17</v>
      </c>
      <c r="F18" s="38" t="s">
        <v>147</v>
      </c>
      <c r="G18" s="25">
        <v>10</v>
      </c>
      <c r="H18" s="25" t="s">
        <v>88</v>
      </c>
      <c r="I18" s="42" t="s">
        <v>128</v>
      </c>
      <c r="J18" s="639">
        <v>5851314</v>
      </c>
      <c r="K18" s="639">
        <v>19552811.359999999</v>
      </c>
      <c r="L18" s="639"/>
      <c r="M18" s="45">
        <v>400000</v>
      </c>
      <c r="N18" s="45"/>
      <c r="O18" s="45"/>
      <c r="P18" s="45">
        <f t="shared" si="5"/>
        <v>400000</v>
      </c>
      <c r="Q18" s="266"/>
      <c r="R18" s="266">
        <v>100000</v>
      </c>
      <c r="S18" s="306"/>
      <c r="T18" s="266">
        <f t="shared" ref="T18:T22" si="6">SUM(R18-S18)</f>
        <v>100000</v>
      </c>
    </row>
    <row r="19" spans="1:20" ht="22.9" customHeight="1" x14ac:dyDescent="0.25">
      <c r="A19" s="38">
        <v>2</v>
      </c>
      <c r="B19" s="38">
        <v>0</v>
      </c>
      <c r="C19" s="38">
        <v>4</v>
      </c>
      <c r="D19" s="38">
        <v>4</v>
      </c>
      <c r="E19" s="38">
        <v>18</v>
      </c>
      <c r="F19" s="38" t="s">
        <v>147</v>
      </c>
      <c r="G19" s="25">
        <v>10</v>
      </c>
      <c r="H19" s="25" t="s">
        <v>88</v>
      </c>
      <c r="I19" s="42" t="s">
        <v>129</v>
      </c>
      <c r="J19" s="639">
        <v>21568574.789999999</v>
      </c>
      <c r="K19" s="639">
        <v>30327391.84</v>
      </c>
      <c r="L19" s="639"/>
      <c r="M19" s="45">
        <v>18800000</v>
      </c>
      <c r="N19" s="45"/>
      <c r="O19" s="45"/>
      <c r="P19" s="45">
        <f t="shared" si="5"/>
        <v>18800000</v>
      </c>
      <c r="Q19" s="266"/>
      <c r="R19" s="266">
        <v>18800000</v>
      </c>
      <c r="S19" s="306"/>
      <c r="T19" s="266">
        <f t="shared" si="6"/>
        <v>18800000</v>
      </c>
    </row>
    <row r="20" spans="1:20" ht="36" x14ac:dyDescent="0.25">
      <c r="A20" s="38">
        <v>2</v>
      </c>
      <c r="B20" s="38">
        <v>0</v>
      </c>
      <c r="C20" s="38">
        <v>4</v>
      </c>
      <c r="D20" s="38">
        <v>4</v>
      </c>
      <c r="E20" s="38">
        <v>20</v>
      </c>
      <c r="F20" s="38" t="s">
        <v>147</v>
      </c>
      <c r="G20" s="25">
        <v>10</v>
      </c>
      <c r="H20" s="25" t="s">
        <v>88</v>
      </c>
      <c r="I20" s="42" t="s">
        <v>176</v>
      </c>
      <c r="J20" s="310">
        <v>30837092</v>
      </c>
      <c r="K20" s="310">
        <v>31584291</v>
      </c>
      <c r="L20" s="310">
        <v>35972143</v>
      </c>
      <c r="M20" s="620">
        <v>30000000</v>
      </c>
      <c r="N20" s="45"/>
      <c r="O20" s="45"/>
      <c r="P20" s="45">
        <f t="shared" si="5"/>
        <v>30000000</v>
      </c>
      <c r="Q20" s="266"/>
      <c r="R20" s="266">
        <v>1000000</v>
      </c>
      <c r="S20" s="306"/>
      <c r="T20" s="266">
        <f t="shared" si="6"/>
        <v>1000000</v>
      </c>
    </row>
    <row r="21" spans="1:20" ht="36" x14ac:dyDescent="0.25">
      <c r="A21" s="38">
        <v>2</v>
      </c>
      <c r="B21" s="38">
        <v>0</v>
      </c>
      <c r="C21" s="38">
        <v>4</v>
      </c>
      <c r="D21" s="38">
        <v>4</v>
      </c>
      <c r="E21" s="38">
        <v>21</v>
      </c>
      <c r="F21" s="38" t="s">
        <v>147</v>
      </c>
      <c r="G21" s="25">
        <v>10</v>
      </c>
      <c r="H21" s="25" t="s">
        <v>88</v>
      </c>
      <c r="I21" s="36" t="s">
        <v>151</v>
      </c>
      <c r="J21" s="639">
        <v>471340</v>
      </c>
      <c r="K21" s="639">
        <v>169190</v>
      </c>
      <c r="L21" s="639"/>
      <c r="M21" s="45"/>
      <c r="N21" s="45"/>
      <c r="O21" s="45"/>
      <c r="P21" s="45">
        <f t="shared" si="5"/>
        <v>0</v>
      </c>
      <c r="Q21" s="266"/>
      <c r="R21" s="266">
        <v>0</v>
      </c>
      <c r="S21" s="266"/>
      <c r="T21" s="266">
        <f t="shared" si="6"/>
        <v>0</v>
      </c>
    </row>
    <row r="22" spans="1:20" ht="36" x14ac:dyDescent="0.25">
      <c r="A22" s="38">
        <v>2</v>
      </c>
      <c r="B22" s="38">
        <v>0</v>
      </c>
      <c r="C22" s="38">
        <v>4</v>
      </c>
      <c r="D22" s="38">
        <v>4</v>
      </c>
      <c r="E22" s="38">
        <v>23</v>
      </c>
      <c r="F22" s="38" t="s">
        <v>147</v>
      </c>
      <c r="G22" s="25">
        <v>10</v>
      </c>
      <c r="H22" s="25" t="s">
        <v>88</v>
      </c>
      <c r="I22" s="36" t="s">
        <v>130</v>
      </c>
      <c r="J22" s="639">
        <v>6562350</v>
      </c>
      <c r="K22" s="639">
        <v>3699162</v>
      </c>
      <c r="L22" s="639">
        <v>23036241</v>
      </c>
      <c r="M22" s="45">
        <v>5000000</v>
      </c>
      <c r="N22" s="45"/>
      <c r="O22" s="45"/>
      <c r="P22" s="45">
        <f t="shared" si="5"/>
        <v>5000000</v>
      </c>
      <c r="Q22" s="266">
        <v>4000000</v>
      </c>
      <c r="R22" s="266">
        <v>0</v>
      </c>
      <c r="S22" s="266"/>
      <c r="T22" s="266">
        <f t="shared" si="6"/>
        <v>0</v>
      </c>
    </row>
    <row r="23" spans="1:20" ht="20.100000000000001" x14ac:dyDescent="0.35">
      <c r="A23" s="32"/>
      <c r="B23" s="32"/>
      <c r="C23" s="32"/>
      <c r="D23" s="32"/>
      <c r="E23" s="32"/>
      <c r="F23" s="32"/>
      <c r="G23" s="33"/>
      <c r="H23" s="33"/>
      <c r="I23" s="35" t="s">
        <v>131</v>
      </c>
      <c r="J23" s="277">
        <f t="shared" ref="J23:T23" si="7">SUM(J14:J22)</f>
        <v>211416154.78999999</v>
      </c>
      <c r="K23" s="277">
        <f t="shared" si="7"/>
        <v>194678763.19999999</v>
      </c>
      <c r="L23" s="277">
        <f t="shared" si="7"/>
        <v>154898404</v>
      </c>
      <c r="M23" s="278">
        <f t="shared" ref="M23:R23" si="8">SUM(M14:M22)</f>
        <v>311200000</v>
      </c>
      <c r="N23" s="278">
        <f t="shared" si="8"/>
        <v>0</v>
      </c>
      <c r="O23" s="278">
        <f t="shared" si="8"/>
        <v>0</v>
      </c>
      <c r="P23" s="278">
        <f t="shared" si="8"/>
        <v>311200000</v>
      </c>
      <c r="Q23" s="49">
        <f t="shared" si="8"/>
        <v>4000000</v>
      </c>
      <c r="R23" s="49">
        <f t="shared" si="8"/>
        <v>21800000</v>
      </c>
      <c r="S23" s="49">
        <f>SUM(S14:S22)</f>
        <v>0</v>
      </c>
      <c r="T23" s="49">
        <f t="shared" si="7"/>
        <v>21800000</v>
      </c>
    </row>
    <row r="24" spans="1:20" ht="22.9" customHeight="1" x14ac:dyDescent="0.35">
      <c r="A24" s="800" t="s">
        <v>132</v>
      </c>
      <c r="B24" s="800"/>
      <c r="C24" s="800"/>
      <c r="D24" s="800"/>
      <c r="E24" s="800"/>
      <c r="F24" s="800"/>
      <c r="G24" s="800"/>
      <c r="H24" s="800"/>
      <c r="I24" s="800"/>
      <c r="J24" s="25"/>
      <c r="K24" s="25"/>
      <c r="L24" s="25"/>
      <c r="M24" s="50"/>
      <c r="N24" s="50"/>
      <c r="O24" s="50"/>
      <c r="P24" s="50"/>
      <c r="Q24" s="50"/>
      <c r="R24" s="50"/>
      <c r="S24" s="50"/>
      <c r="T24" s="50"/>
    </row>
    <row r="25" spans="1:20" ht="36" x14ac:dyDescent="0.25">
      <c r="A25" s="38">
        <v>2</v>
      </c>
      <c r="B25" s="38">
        <v>0</v>
      </c>
      <c r="C25" s="38">
        <v>4</v>
      </c>
      <c r="D25" s="38">
        <v>5</v>
      </c>
      <c r="E25" s="38">
        <v>1</v>
      </c>
      <c r="F25" s="38" t="s">
        <v>147</v>
      </c>
      <c r="G25" s="25">
        <v>10</v>
      </c>
      <c r="H25" s="25" t="s">
        <v>88</v>
      </c>
      <c r="I25" s="42" t="s">
        <v>375</v>
      </c>
      <c r="J25" s="639">
        <v>6719205</v>
      </c>
      <c r="K25" s="639">
        <v>19966682</v>
      </c>
      <c r="L25" s="639">
        <v>6801902</v>
      </c>
      <c r="M25" s="620">
        <v>110520000</v>
      </c>
      <c r="N25" s="45"/>
      <c r="O25" s="45"/>
      <c r="P25" s="45">
        <f t="shared" ref="P25:P31" si="9">SUM(M25+N25-O25)</f>
        <v>110520000</v>
      </c>
      <c r="Q25" s="266"/>
      <c r="R25" s="266">
        <v>2500000</v>
      </c>
      <c r="S25" s="306"/>
      <c r="T25" s="266">
        <f t="shared" ref="T25:T31" si="10">SUM(R25-S25)</f>
        <v>2500000</v>
      </c>
    </row>
    <row r="26" spans="1:20" ht="36" x14ac:dyDescent="0.25">
      <c r="A26" s="38">
        <v>2</v>
      </c>
      <c r="B26" s="38">
        <v>0</v>
      </c>
      <c r="C26" s="38">
        <v>4</v>
      </c>
      <c r="D26" s="38">
        <v>5</v>
      </c>
      <c r="E26" s="38">
        <v>2</v>
      </c>
      <c r="F26" s="38" t="s">
        <v>147</v>
      </c>
      <c r="G26" s="25">
        <v>10</v>
      </c>
      <c r="H26" s="25" t="s">
        <v>88</v>
      </c>
      <c r="I26" s="42" t="s">
        <v>185</v>
      </c>
      <c r="J26" s="310">
        <v>7601780</v>
      </c>
      <c r="K26" s="310">
        <v>16820404</v>
      </c>
      <c r="L26" s="310">
        <v>6296858</v>
      </c>
      <c r="M26" s="620">
        <v>35500000</v>
      </c>
      <c r="N26" s="45"/>
      <c r="O26" s="45"/>
      <c r="P26" s="45">
        <f t="shared" si="9"/>
        <v>35500000</v>
      </c>
      <c r="Q26" s="266"/>
      <c r="R26" s="318">
        <v>5200000</v>
      </c>
      <c r="S26" s="319"/>
      <c r="T26" s="266">
        <f t="shared" si="10"/>
        <v>5200000</v>
      </c>
    </row>
    <row r="27" spans="1:20" ht="36" x14ac:dyDescent="0.25">
      <c r="A27" s="38">
        <v>2</v>
      </c>
      <c r="B27" s="38">
        <v>0</v>
      </c>
      <c r="C27" s="38">
        <v>4</v>
      </c>
      <c r="D27" s="38">
        <v>5</v>
      </c>
      <c r="E27" s="38">
        <v>5</v>
      </c>
      <c r="F27" s="38" t="s">
        <v>147</v>
      </c>
      <c r="G27" s="25">
        <v>10</v>
      </c>
      <c r="H27" s="25" t="s">
        <v>88</v>
      </c>
      <c r="I27" s="42" t="s">
        <v>184</v>
      </c>
      <c r="J27" s="321">
        <v>79507354</v>
      </c>
      <c r="K27" s="321">
        <v>287072300.5</v>
      </c>
      <c r="L27" s="321">
        <v>192403910</v>
      </c>
      <c r="M27" s="620">
        <v>131200000</v>
      </c>
      <c r="N27" s="45"/>
      <c r="O27" s="45"/>
      <c r="P27" s="45">
        <f t="shared" si="9"/>
        <v>131200000</v>
      </c>
      <c r="Q27" s="266"/>
      <c r="R27" s="266">
        <v>600000</v>
      </c>
      <c r="S27" s="266"/>
      <c r="T27" s="266">
        <f t="shared" si="10"/>
        <v>600000</v>
      </c>
    </row>
    <row r="28" spans="1:20" ht="36" x14ac:dyDescent="0.25">
      <c r="A28" s="38">
        <v>2</v>
      </c>
      <c r="B28" s="38">
        <v>0</v>
      </c>
      <c r="C28" s="38">
        <v>4</v>
      </c>
      <c r="D28" s="38">
        <v>5</v>
      </c>
      <c r="E28" s="38">
        <v>6</v>
      </c>
      <c r="F28" s="38" t="s">
        <v>147</v>
      </c>
      <c r="G28" s="25">
        <v>10</v>
      </c>
      <c r="H28" s="25" t="s">
        <v>88</v>
      </c>
      <c r="I28" s="42" t="s">
        <v>116</v>
      </c>
      <c r="J28" s="639">
        <v>21600000</v>
      </c>
      <c r="K28" s="639">
        <v>21600000</v>
      </c>
      <c r="L28" s="639">
        <v>17451732</v>
      </c>
      <c r="M28" s="620">
        <v>29000000</v>
      </c>
      <c r="N28" s="45"/>
      <c r="O28" s="45"/>
      <c r="P28" s="45">
        <f t="shared" si="9"/>
        <v>29000000</v>
      </c>
      <c r="Q28" s="266"/>
      <c r="R28" s="266"/>
      <c r="S28" s="266"/>
      <c r="T28" s="266">
        <f t="shared" si="10"/>
        <v>0</v>
      </c>
    </row>
    <row r="29" spans="1:20" ht="21" customHeight="1" x14ac:dyDescent="0.25">
      <c r="A29" s="38">
        <v>2</v>
      </c>
      <c r="B29" s="38">
        <v>0</v>
      </c>
      <c r="C29" s="38">
        <v>4</v>
      </c>
      <c r="D29" s="38">
        <v>5</v>
      </c>
      <c r="E29" s="38">
        <v>8</v>
      </c>
      <c r="F29" s="38" t="s">
        <v>147</v>
      </c>
      <c r="G29" s="25">
        <v>10</v>
      </c>
      <c r="H29" s="25" t="s">
        <v>88</v>
      </c>
      <c r="I29" s="42" t="s">
        <v>133</v>
      </c>
      <c r="J29" s="639">
        <v>102285363.8</v>
      </c>
      <c r="K29" s="639">
        <v>105523727</v>
      </c>
      <c r="L29" s="639">
        <v>89283685</v>
      </c>
      <c r="M29" s="620">
        <v>189000000</v>
      </c>
      <c r="N29" s="45"/>
      <c r="O29" s="45"/>
      <c r="P29" s="45">
        <f t="shared" si="9"/>
        <v>189000000</v>
      </c>
      <c r="Q29" s="266"/>
      <c r="R29" s="266"/>
      <c r="S29" s="266"/>
      <c r="T29" s="266">
        <f t="shared" si="10"/>
        <v>0</v>
      </c>
    </row>
    <row r="30" spans="1:20" ht="36" x14ac:dyDescent="0.25">
      <c r="A30" s="38">
        <v>2</v>
      </c>
      <c r="B30" s="38">
        <v>0</v>
      </c>
      <c r="C30" s="38">
        <v>4</v>
      </c>
      <c r="D30" s="38">
        <v>5</v>
      </c>
      <c r="E30" s="38">
        <v>10</v>
      </c>
      <c r="F30" s="38" t="s">
        <v>147</v>
      </c>
      <c r="G30" s="25">
        <v>10</v>
      </c>
      <c r="H30" s="25" t="s">
        <v>88</v>
      </c>
      <c r="I30" s="42" t="s">
        <v>117</v>
      </c>
      <c r="J30" s="639">
        <v>152736982</v>
      </c>
      <c r="K30" s="639">
        <v>159603012</v>
      </c>
      <c r="L30" s="639">
        <v>139184373</v>
      </c>
      <c r="M30" s="620">
        <v>197000000</v>
      </c>
      <c r="N30" s="45"/>
      <c r="O30" s="45"/>
      <c r="P30" s="45">
        <f t="shared" si="9"/>
        <v>197000000</v>
      </c>
      <c r="Q30" s="266"/>
      <c r="R30" s="266"/>
      <c r="S30" s="266"/>
      <c r="T30" s="266">
        <f t="shared" si="10"/>
        <v>0</v>
      </c>
    </row>
    <row r="31" spans="1:20" ht="36" x14ac:dyDescent="0.25">
      <c r="A31" s="38">
        <v>2</v>
      </c>
      <c r="B31" s="38">
        <v>0</v>
      </c>
      <c r="C31" s="38">
        <v>4</v>
      </c>
      <c r="D31" s="38">
        <v>5</v>
      </c>
      <c r="E31" s="38">
        <v>12</v>
      </c>
      <c r="F31" s="38" t="s">
        <v>147</v>
      </c>
      <c r="G31" s="25">
        <v>10</v>
      </c>
      <c r="H31" s="25" t="s">
        <v>88</v>
      </c>
      <c r="I31" s="42" t="s">
        <v>118</v>
      </c>
      <c r="J31" s="639">
        <v>1449028</v>
      </c>
      <c r="K31" s="639">
        <v>54500</v>
      </c>
      <c r="L31" s="639">
        <v>3845289</v>
      </c>
      <c r="M31" s="45">
        <v>2000000</v>
      </c>
      <c r="N31" s="45"/>
      <c r="O31" s="45"/>
      <c r="P31" s="45">
        <f t="shared" si="9"/>
        <v>2000000</v>
      </c>
      <c r="Q31" s="266">
        <v>1500000</v>
      </c>
      <c r="R31" s="266">
        <v>500000</v>
      </c>
      <c r="S31" s="306"/>
      <c r="T31" s="266">
        <f t="shared" si="10"/>
        <v>500000</v>
      </c>
    </row>
    <row r="32" spans="1:20" ht="20.100000000000001" x14ac:dyDescent="0.35">
      <c r="A32" s="32"/>
      <c r="B32" s="32"/>
      <c r="C32" s="32"/>
      <c r="D32" s="32"/>
      <c r="E32" s="32"/>
      <c r="F32" s="32"/>
      <c r="G32" s="33"/>
      <c r="H32" s="33"/>
      <c r="I32" s="35" t="s">
        <v>134</v>
      </c>
      <c r="J32" s="277">
        <f t="shared" ref="J32:T32" si="11">SUM(J25:J31)</f>
        <v>371899712.80000001</v>
      </c>
      <c r="K32" s="277">
        <f t="shared" si="11"/>
        <v>610640625.5</v>
      </c>
      <c r="L32" s="277">
        <f t="shared" si="11"/>
        <v>455267749</v>
      </c>
      <c r="M32" s="278">
        <f>SUM(M24:M31)</f>
        <v>694220000</v>
      </c>
      <c r="N32" s="278">
        <f>SUM(N24:N31)</f>
        <v>0</v>
      </c>
      <c r="O32" s="278">
        <f>SUM(O24:O31)</f>
        <v>0</v>
      </c>
      <c r="P32" s="278">
        <f>SUM(P24:P31)</f>
        <v>694220000</v>
      </c>
      <c r="Q32" s="49">
        <f>SUM(Q25:Q31)</f>
        <v>1500000</v>
      </c>
      <c r="R32" s="49">
        <f t="shared" si="11"/>
        <v>8800000</v>
      </c>
      <c r="S32" s="49">
        <f t="shared" si="11"/>
        <v>0</v>
      </c>
      <c r="T32" s="49">
        <f t="shared" si="11"/>
        <v>8800000</v>
      </c>
    </row>
    <row r="33" spans="1:20" ht="20.100000000000001" x14ac:dyDescent="0.35">
      <c r="A33" s="800" t="s">
        <v>124</v>
      </c>
      <c r="B33" s="800"/>
      <c r="C33" s="800"/>
      <c r="D33" s="800"/>
      <c r="E33" s="800"/>
      <c r="F33" s="800"/>
      <c r="G33" s="800"/>
      <c r="H33" s="800"/>
      <c r="I33" s="800"/>
      <c r="J33" s="25"/>
      <c r="K33" s="25"/>
      <c r="L33" s="25"/>
      <c r="M33" s="50"/>
      <c r="N33" s="50"/>
      <c r="O33" s="50"/>
      <c r="P33" s="50"/>
      <c r="Q33" s="50"/>
      <c r="R33" s="50"/>
      <c r="S33" s="50"/>
      <c r="T33" s="50"/>
    </row>
    <row r="34" spans="1:20" ht="36" x14ac:dyDescent="0.25">
      <c r="A34" s="38">
        <v>2</v>
      </c>
      <c r="B34" s="38">
        <v>0</v>
      </c>
      <c r="C34" s="38">
        <v>4</v>
      </c>
      <c r="D34" s="38">
        <v>6</v>
      </c>
      <c r="E34" s="38">
        <v>2</v>
      </c>
      <c r="F34" s="38" t="s">
        <v>147</v>
      </c>
      <c r="G34" s="25">
        <v>10</v>
      </c>
      <c r="H34" s="25" t="s">
        <v>88</v>
      </c>
      <c r="I34" s="36" t="s">
        <v>119</v>
      </c>
      <c r="J34" s="639">
        <v>56623255</v>
      </c>
      <c r="K34" s="639">
        <v>80264238</v>
      </c>
      <c r="L34" s="639">
        <v>102393891</v>
      </c>
      <c r="M34" s="620">
        <v>113000000</v>
      </c>
      <c r="N34" s="45"/>
      <c r="O34" s="45"/>
      <c r="P34" s="45">
        <f>SUM(M34+N34-O34)</f>
        <v>113000000</v>
      </c>
      <c r="Q34" s="266"/>
      <c r="R34" s="266">
        <v>1000000</v>
      </c>
      <c r="S34" s="306"/>
      <c r="T34" s="266">
        <f>SUM(R34-S34)</f>
        <v>1000000</v>
      </c>
    </row>
    <row r="35" spans="1:20" ht="36" x14ac:dyDescent="0.25">
      <c r="A35" s="38">
        <v>2</v>
      </c>
      <c r="B35" s="38">
        <v>0</v>
      </c>
      <c r="C35" s="38">
        <v>4</v>
      </c>
      <c r="D35" s="38">
        <v>6</v>
      </c>
      <c r="E35" s="38">
        <v>5</v>
      </c>
      <c r="F35" s="38" t="s">
        <v>147</v>
      </c>
      <c r="G35" s="25">
        <v>10</v>
      </c>
      <c r="H35" s="25" t="s">
        <v>88</v>
      </c>
      <c r="I35" s="42" t="s">
        <v>120</v>
      </c>
      <c r="J35" s="639">
        <v>16573350</v>
      </c>
      <c r="K35" s="639">
        <v>133954639</v>
      </c>
      <c r="L35" s="639">
        <v>497266364</v>
      </c>
      <c r="M35" s="620">
        <v>980000000</v>
      </c>
      <c r="N35" s="45"/>
      <c r="O35" s="45"/>
      <c r="P35" s="45">
        <f>SUM(M35+N35-O35)</f>
        <v>980000000</v>
      </c>
      <c r="Q35" s="266"/>
      <c r="R35" s="266"/>
      <c r="S35" s="266"/>
      <c r="T35" s="266">
        <f>SUM(R35-S35)</f>
        <v>0</v>
      </c>
    </row>
    <row r="36" spans="1:20" ht="36" x14ac:dyDescent="0.25">
      <c r="A36" s="38">
        <v>2</v>
      </c>
      <c r="B36" s="38">
        <v>0</v>
      </c>
      <c r="C36" s="38">
        <v>4</v>
      </c>
      <c r="D36" s="38">
        <v>6</v>
      </c>
      <c r="E36" s="38">
        <v>7</v>
      </c>
      <c r="F36" s="38" t="s">
        <v>147</v>
      </c>
      <c r="G36" s="25">
        <v>10</v>
      </c>
      <c r="H36" s="25" t="s">
        <v>88</v>
      </c>
      <c r="I36" s="42" t="s">
        <v>121</v>
      </c>
      <c r="J36" s="639">
        <v>2968650</v>
      </c>
      <c r="K36" s="639">
        <v>3042900</v>
      </c>
      <c r="L36" s="639">
        <v>0</v>
      </c>
      <c r="M36" s="620">
        <v>5100000</v>
      </c>
      <c r="N36" s="45"/>
      <c r="O36" s="45"/>
      <c r="P36" s="45">
        <f>SUM(M36+N36-O36)</f>
        <v>5100000</v>
      </c>
      <c r="Q36" s="266"/>
      <c r="R36" s="266">
        <v>2700000</v>
      </c>
      <c r="S36" s="306"/>
      <c r="T36" s="266">
        <f>SUM(R36-S36)</f>
        <v>2700000</v>
      </c>
    </row>
    <row r="37" spans="1:20" ht="36" x14ac:dyDescent="0.25">
      <c r="A37" s="38">
        <v>2</v>
      </c>
      <c r="B37" s="38">
        <v>0</v>
      </c>
      <c r="C37" s="38">
        <v>4</v>
      </c>
      <c r="D37" s="38">
        <v>6</v>
      </c>
      <c r="E37" s="38">
        <v>8</v>
      </c>
      <c r="F37" s="38" t="s">
        <v>147</v>
      </c>
      <c r="G37" s="25">
        <v>10</v>
      </c>
      <c r="H37" s="25" t="s">
        <v>88</v>
      </c>
      <c r="I37" s="42" t="s">
        <v>377</v>
      </c>
      <c r="J37" s="639">
        <v>3728944</v>
      </c>
      <c r="K37" s="639">
        <v>4108750</v>
      </c>
      <c r="L37" s="639">
        <f>3344323+1826294</f>
        <v>5170617</v>
      </c>
      <c r="M37" s="620">
        <v>5400000</v>
      </c>
      <c r="N37" s="45"/>
      <c r="O37" s="45"/>
      <c r="P37" s="45">
        <f>SUM(M37+N37-O37)</f>
        <v>5400000</v>
      </c>
      <c r="Q37" s="266">
        <v>1500000</v>
      </c>
      <c r="R37" s="266"/>
      <c r="S37" s="266"/>
      <c r="T37" s="266">
        <f>SUM(R37-S37)</f>
        <v>0</v>
      </c>
    </row>
    <row r="38" spans="1:20" ht="27.95" x14ac:dyDescent="0.35">
      <c r="A38" s="32"/>
      <c r="B38" s="32"/>
      <c r="C38" s="32"/>
      <c r="D38" s="32"/>
      <c r="E38" s="32"/>
      <c r="F38" s="32"/>
      <c r="G38" s="33"/>
      <c r="H38" s="33"/>
      <c r="I38" s="35" t="s">
        <v>136</v>
      </c>
      <c r="J38" s="277">
        <f>SUM(J34:J37)</f>
        <v>79894199</v>
      </c>
      <c r="K38" s="277">
        <f>SUM(K34:K37)</f>
        <v>221370527</v>
      </c>
      <c r="L38" s="277">
        <f>SUM(L34:L37)</f>
        <v>604830872</v>
      </c>
      <c r="M38" s="278">
        <f>SUM(M33:M37)</f>
        <v>1103500000</v>
      </c>
      <c r="N38" s="278">
        <f>SUM(N33:N37)</f>
        <v>0</v>
      </c>
      <c r="O38" s="278">
        <f>SUM(O33:O37)</f>
        <v>0</v>
      </c>
      <c r="P38" s="278">
        <f>SUM(P33:P37)</f>
        <v>1103500000</v>
      </c>
      <c r="Q38" s="49">
        <f>SUM(Q34:Q37)</f>
        <v>1500000</v>
      </c>
      <c r="R38" s="49">
        <f>SUM(R34:R37)</f>
        <v>3700000</v>
      </c>
      <c r="S38" s="49">
        <f t="shared" ref="S38:T38" si="12">SUM(S34:S37)</f>
        <v>0</v>
      </c>
      <c r="T38" s="49">
        <f t="shared" si="12"/>
        <v>3700000</v>
      </c>
    </row>
    <row r="39" spans="1:20" ht="20.100000000000001" x14ac:dyDescent="0.35">
      <c r="A39" s="800" t="s">
        <v>122</v>
      </c>
      <c r="B39" s="800"/>
      <c r="C39" s="800"/>
      <c r="D39" s="800"/>
      <c r="E39" s="800"/>
      <c r="F39" s="800"/>
      <c r="G39" s="800"/>
      <c r="H39" s="800"/>
      <c r="I39" s="800" t="s">
        <v>122</v>
      </c>
      <c r="J39" s="25"/>
      <c r="K39" s="25"/>
      <c r="L39" s="25"/>
      <c r="M39" s="50"/>
      <c r="N39" s="50"/>
      <c r="O39" s="50"/>
      <c r="P39" s="50"/>
      <c r="Q39" s="50"/>
      <c r="R39" s="50"/>
      <c r="S39" s="50"/>
      <c r="T39" s="50"/>
    </row>
    <row r="40" spans="1:20" ht="36" x14ac:dyDescent="0.25">
      <c r="A40" s="38">
        <v>2</v>
      </c>
      <c r="B40" s="38">
        <v>0</v>
      </c>
      <c r="C40" s="38">
        <v>4</v>
      </c>
      <c r="D40" s="38">
        <v>7</v>
      </c>
      <c r="E40" s="38">
        <v>1</v>
      </c>
      <c r="F40" s="38" t="s">
        <v>147</v>
      </c>
      <c r="G40" s="25">
        <v>9</v>
      </c>
      <c r="H40" s="25" t="s">
        <v>88</v>
      </c>
      <c r="I40" s="36" t="s">
        <v>150</v>
      </c>
      <c r="J40" s="639">
        <v>746200</v>
      </c>
      <c r="K40" s="639">
        <v>85400</v>
      </c>
      <c r="L40" s="639"/>
      <c r="M40" s="45"/>
      <c r="N40" s="45"/>
      <c r="O40" s="45"/>
      <c r="P40" s="45">
        <f>SUM(M40+N40-O40)</f>
        <v>0</v>
      </c>
      <c r="Q40" s="266"/>
      <c r="R40" s="266">
        <v>0</v>
      </c>
      <c r="S40" s="266">
        <v>0</v>
      </c>
      <c r="T40" s="266">
        <f>SUM(R40-S40)</f>
        <v>0</v>
      </c>
    </row>
    <row r="41" spans="1:20" ht="45" x14ac:dyDescent="0.25">
      <c r="A41" s="38">
        <v>2</v>
      </c>
      <c r="B41" s="38">
        <v>0</v>
      </c>
      <c r="C41" s="38">
        <v>4</v>
      </c>
      <c r="D41" s="38">
        <v>7</v>
      </c>
      <c r="E41" s="38">
        <v>3</v>
      </c>
      <c r="F41" s="38" t="s">
        <v>90</v>
      </c>
      <c r="G41" s="25">
        <v>10</v>
      </c>
      <c r="H41" s="25" t="s">
        <v>88</v>
      </c>
      <c r="I41" s="36" t="s">
        <v>149</v>
      </c>
      <c r="J41" s="639">
        <v>111300</v>
      </c>
      <c r="K41" s="639">
        <v>120960</v>
      </c>
      <c r="L41" s="639"/>
      <c r="M41" s="45"/>
      <c r="N41" s="45"/>
      <c r="O41" s="45"/>
      <c r="P41" s="45">
        <f>SUM(M41+N41-O41)</f>
        <v>0</v>
      </c>
      <c r="Q41" s="266"/>
      <c r="R41" s="266"/>
      <c r="S41" s="266">
        <v>0</v>
      </c>
      <c r="T41" s="266">
        <f>SUM(R41-S41)</f>
        <v>0</v>
      </c>
    </row>
    <row r="42" spans="1:20" ht="36" x14ac:dyDescent="0.25">
      <c r="A42" s="38">
        <v>2</v>
      </c>
      <c r="B42" s="38">
        <v>0</v>
      </c>
      <c r="C42" s="38">
        <v>4</v>
      </c>
      <c r="D42" s="38">
        <v>7</v>
      </c>
      <c r="E42" s="38">
        <v>5</v>
      </c>
      <c r="F42" s="38" t="s">
        <v>147</v>
      </c>
      <c r="G42" s="25">
        <v>10</v>
      </c>
      <c r="H42" s="25" t="s">
        <v>88</v>
      </c>
      <c r="I42" s="42" t="s">
        <v>123</v>
      </c>
      <c r="J42" s="639">
        <v>2293000</v>
      </c>
      <c r="K42" s="639">
        <v>1674000</v>
      </c>
      <c r="L42" s="639">
        <v>683998</v>
      </c>
      <c r="M42" s="620">
        <v>6000000</v>
      </c>
      <c r="N42" s="45"/>
      <c r="O42" s="45"/>
      <c r="P42" s="45">
        <f>SUM(M42+N42-O42)</f>
        <v>6000000</v>
      </c>
      <c r="Q42" s="266"/>
      <c r="R42" s="266"/>
      <c r="S42" s="266"/>
      <c r="T42" s="266">
        <f>SUM(R42-S42)</f>
        <v>0</v>
      </c>
    </row>
    <row r="43" spans="1:20" ht="36" x14ac:dyDescent="0.25">
      <c r="A43" s="38">
        <v>2</v>
      </c>
      <c r="B43" s="38">
        <v>0</v>
      </c>
      <c r="C43" s="38">
        <v>4</v>
      </c>
      <c r="D43" s="38">
        <v>7</v>
      </c>
      <c r="E43" s="38">
        <v>6</v>
      </c>
      <c r="F43" s="38" t="s">
        <v>147</v>
      </c>
      <c r="G43" s="25">
        <v>10</v>
      </c>
      <c r="H43" s="25" t="s">
        <v>88</v>
      </c>
      <c r="I43" s="42" t="s">
        <v>212</v>
      </c>
      <c r="J43" s="639">
        <v>5955458</v>
      </c>
      <c r="K43" s="639">
        <v>4360858</v>
      </c>
      <c r="L43" s="639">
        <f>1454877</f>
        <v>1454877</v>
      </c>
      <c r="M43" s="620">
        <v>5500000</v>
      </c>
      <c r="N43" s="45"/>
      <c r="O43" s="45"/>
      <c r="P43" s="45">
        <f>SUM(M43+N43-O43)</f>
        <v>5500000</v>
      </c>
      <c r="Q43" s="49">
        <v>500000</v>
      </c>
      <c r="R43" s="49">
        <v>2500000</v>
      </c>
      <c r="S43" s="306"/>
      <c r="T43" s="266">
        <f>SUM(R43-S43)</f>
        <v>2500000</v>
      </c>
    </row>
    <row r="44" spans="1:20" ht="36" x14ac:dyDescent="0.25">
      <c r="A44" s="32"/>
      <c r="B44" s="32"/>
      <c r="C44" s="32"/>
      <c r="D44" s="32"/>
      <c r="E44" s="32"/>
      <c r="F44" s="32" t="s">
        <v>147</v>
      </c>
      <c r="G44" s="33"/>
      <c r="H44" s="33"/>
      <c r="I44" s="35" t="s">
        <v>152</v>
      </c>
      <c r="J44" s="277">
        <f>SUM(J40:J43)</f>
        <v>9105958</v>
      </c>
      <c r="K44" s="277">
        <f>SUM(K40:K43)</f>
        <v>6241218</v>
      </c>
      <c r="L44" s="277">
        <f>SUM(L40:L43)</f>
        <v>2138875</v>
      </c>
      <c r="M44" s="278">
        <f>SUM(M40:M43)</f>
        <v>11500000</v>
      </c>
      <c r="N44" s="278">
        <f t="shared" ref="N44:T44" si="13">SUM(N40:N43)</f>
        <v>0</v>
      </c>
      <c r="O44" s="278">
        <f t="shared" si="13"/>
        <v>0</v>
      </c>
      <c r="P44" s="278">
        <f t="shared" si="13"/>
        <v>11500000</v>
      </c>
      <c r="Q44" s="49">
        <f t="shared" si="13"/>
        <v>500000</v>
      </c>
      <c r="R44" s="49">
        <f t="shared" si="13"/>
        <v>2500000</v>
      </c>
      <c r="S44" s="49">
        <f t="shared" si="13"/>
        <v>0</v>
      </c>
      <c r="T44" s="49">
        <f t="shared" si="13"/>
        <v>2500000</v>
      </c>
    </row>
    <row r="45" spans="1:20" ht="20.100000000000001" x14ac:dyDescent="0.35">
      <c r="A45" s="800" t="s">
        <v>378</v>
      </c>
      <c r="B45" s="800"/>
      <c r="C45" s="800"/>
      <c r="D45" s="800"/>
      <c r="E45" s="800"/>
      <c r="F45" s="800"/>
      <c r="G45" s="800"/>
      <c r="H45" s="800"/>
      <c r="I45" s="800"/>
      <c r="J45" s="639"/>
      <c r="K45" s="639"/>
      <c r="L45" s="639"/>
      <c r="M45" s="45"/>
      <c r="N45" s="45"/>
      <c r="O45" s="45"/>
      <c r="P45" s="45"/>
      <c r="Q45" s="266"/>
      <c r="R45" s="266"/>
      <c r="S45" s="266"/>
      <c r="T45" s="266"/>
    </row>
    <row r="46" spans="1:20" ht="36" x14ac:dyDescent="0.25">
      <c r="A46" s="38">
        <v>2</v>
      </c>
      <c r="B46" s="38">
        <v>0</v>
      </c>
      <c r="C46" s="38">
        <v>4</v>
      </c>
      <c r="D46" s="38">
        <v>8</v>
      </c>
      <c r="E46" s="38">
        <v>1</v>
      </c>
      <c r="F46" s="38" t="s">
        <v>147</v>
      </c>
      <c r="G46" s="25">
        <v>10</v>
      </c>
      <c r="H46" s="25" t="s">
        <v>88</v>
      </c>
      <c r="I46" s="329" t="s">
        <v>383</v>
      </c>
      <c r="J46" s="639">
        <v>6186430</v>
      </c>
      <c r="K46" s="639">
        <v>6607190</v>
      </c>
      <c r="L46" s="639">
        <v>9941102</v>
      </c>
      <c r="M46" s="620">
        <v>10000000</v>
      </c>
      <c r="N46" s="190"/>
      <c r="O46" s="45"/>
      <c r="P46" s="45">
        <f>SUM(M46+N46-O46)</f>
        <v>10000000</v>
      </c>
      <c r="Q46" s="266"/>
      <c r="R46" s="266"/>
      <c r="S46" s="266"/>
      <c r="T46" s="266"/>
    </row>
    <row r="47" spans="1:20" ht="36" x14ac:dyDescent="0.25">
      <c r="A47" s="38">
        <v>2</v>
      </c>
      <c r="B47" s="38">
        <v>0</v>
      </c>
      <c r="C47" s="38">
        <v>4</v>
      </c>
      <c r="D47" s="38">
        <v>8</v>
      </c>
      <c r="E47" s="38">
        <v>2</v>
      </c>
      <c r="F47" s="38" t="s">
        <v>147</v>
      </c>
      <c r="G47" s="25">
        <v>10</v>
      </c>
      <c r="H47" s="25" t="s">
        <v>88</v>
      </c>
      <c r="I47" s="329" t="s">
        <v>384</v>
      </c>
      <c r="J47" s="639">
        <v>93438200</v>
      </c>
      <c r="K47" s="639">
        <v>94312740</v>
      </c>
      <c r="L47" s="639">
        <v>103921690</v>
      </c>
      <c r="M47" s="620">
        <v>127000000</v>
      </c>
      <c r="N47" s="45"/>
      <c r="O47" s="45"/>
      <c r="P47" s="45">
        <f>SUM(M47+N47-O47)</f>
        <v>127000000</v>
      </c>
      <c r="Q47" s="266"/>
      <c r="R47" s="266"/>
      <c r="S47" s="266"/>
      <c r="T47" s="266"/>
    </row>
    <row r="48" spans="1:20" ht="36" x14ac:dyDescent="0.25">
      <c r="A48" s="38">
        <v>2</v>
      </c>
      <c r="B48" s="38">
        <v>0</v>
      </c>
      <c r="C48" s="38">
        <v>4</v>
      </c>
      <c r="D48" s="38">
        <v>8</v>
      </c>
      <c r="E48" s="38">
        <v>5</v>
      </c>
      <c r="F48" s="38" t="s">
        <v>147</v>
      </c>
      <c r="G48" s="25">
        <v>10</v>
      </c>
      <c r="H48" s="25" t="s">
        <v>88</v>
      </c>
      <c r="I48" s="329" t="s">
        <v>385</v>
      </c>
      <c r="J48" s="639">
        <v>38584988</v>
      </c>
      <c r="K48" s="639">
        <v>37647973</v>
      </c>
      <c r="L48" s="639">
        <v>29818737</v>
      </c>
      <c r="M48" s="620">
        <v>19000000</v>
      </c>
      <c r="N48" s="45"/>
      <c r="O48" s="45"/>
      <c r="P48" s="45">
        <f>SUM(M48+N48-O48)</f>
        <v>19000000</v>
      </c>
      <c r="Q48" s="266"/>
      <c r="R48" s="266"/>
      <c r="S48" s="266"/>
      <c r="T48" s="266"/>
    </row>
    <row r="49" spans="1:20" ht="24" x14ac:dyDescent="0.25">
      <c r="A49" s="38">
        <v>2</v>
      </c>
      <c r="B49" s="38">
        <v>0</v>
      </c>
      <c r="C49" s="38">
        <v>4</v>
      </c>
      <c r="D49" s="38">
        <v>8</v>
      </c>
      <c r="E49" s="38">
        <v>6</v>
      </c>
      <c r="F49" s="38"/>
      <c r="G49" s="25">
        <v>10</v>
      </c>
      <c r="H49" s="25" t="s">
        <v>88</v>
      </c>
      <c r="I49" s="329" t="s">
        <v>386</v>
      </c>
      <c r="J49" s="639">
        <v>122363650</v>
      </c>
      <c r="K49" s="639">
        <v>119445871</v>
      </c>
      <c r="L49" s="639">
        <v>113763193</v>
      </c>
      <c r="M49" s="620">
        <v>115000000</v>
      </c>
      <c r="N49" s="45"/>
      <c r="O49" s="190"/>
      <c r="P49" s="45">
        <f>SUM(M49+N49-O49)</f>
        <v>115000000</v>
      </c>
      <c r="Q49" s="266"/>
      <c r="R49" s="266"/>
      <c r="S49" s="266"/>
      <c r="T49" s="266"/>
    </row>
    <row r="50" spans="1:20" ht="20.100000000000001" x14ac:dyDescent="0.35">
      <c r="A50" s="32"/>
      <c r="B50" s="32"/>
      <c r="C50" s="32"/>
      <c r="D50" s="32"/>
      <c r="E50" s="32"/>
      <c r="F50" s="32"/>
      <c r="G50" s="33"/>
      <c r="H50" s="33"/>
      <c r="I50" s="35" t="s">
        <v>387</v>
      </c>
      <c r="J50" s="277"/>
      <c r="K50" s="277"/>
      <c r="L50" s="277"/>
      <c r="M50" s="278">
        <f>SUM(M46:M49)</f>
        <v>271000000</v>
      </c>
      <c r="N50" s="278">
        <f>SUM(N46:N49)</f>
        <v>0</v>
      </c>
      <c r="O50" s="278">
        <f>SUM(O46:O49)</f>
        <v>0</v>
      </c>
      <c r="P50" s="278">
        <f>SUM(P46:P49)</f>
        <v>271000000</v>
      </c>
      <c r="Q50" s="49"/>
      <c r="R50" s="49"/>
      <c r="S50" s="49"/>
      <c r="T50" s="49"/>
    </row>
    <row r="51" spans="1:20" ht="20.100000000000001" x14ac:dyDescent="0.35">
      <c r="A51" s="800" t="s">
        <v>388</v>
      </c>
      <c r="B51" s="800"/>
      <c r="C51" s="800"/>
      <c r="D51" s="800"/>
      <c r="E51" s="800"/>
      <c r="F51" s="800"/>
      <c r="G51" s="800"/>
      <c r="H51" s="800"/>
      <c r="I51" s="800"/>
      <c r="J51" s="25"/>
      <c r="K51" s="25"/>
      <c r="L51" s="25"/>
      <c r="M51" s="50"/>
      <c r="N51" s="50"/>
      <c r="O51" s="50"/>
      <c r="P51" s="50"/>
      <c r="Q51" s="50"/>
      <c r="R51" s="50"/>
      <c r="S51" s="50"/>
      <c r="T51" s="50"/>
    </row>
    <row r="52" spans="1:20" ht="36" x14ac:dyDescent="0.25">
      <c r="A52" s="38">
        <v>2</v>
      </c>
      <c r="B52" s="38">
        <v>0</v>
      </c>
      <c r="C52" s="38">
        <v>4</v>
      </c>
      <c r="D52" s="38">
        <v>9</v>
      </c>
      <c r="E52" s="38">
        <v>4</v>
      </c>
      <c r="F52" s="38" t="s">
        <v>147</v>
      </c>
      <c r="G52" s="25">
        <v>10</v>
      </c>
      <c r="H52" s="25" t="s">
        <v>88</v>
      </c>
      <c r="I52" s="42" t="s">
        <v>389</v>
      </c>
      <c r="J52" s="639">
        <v>13728734</v>
      </c>
      <c r="K52" s="639">
        <v>10285849</v>
      </c>
      <c r="L52" s="639">
        <v>9005472</v>
      </c>
      <c r="M52" s="45">
        <v>100000</v>
      </c>
      <c r="N52" s="45"/>
      <c r="O52" s="45"/>
      <c r="P52" s="45">
        <f>SUM(M52+N52-O52)</f>
        <v>100000</v>
      </c>
      <c r="Q52" s="45"/>
      <c r="R52" s="45"/>
      <c r="S52" s="45"/>
      <c r="T52" s="45"/>
    </row>
    <row r="53" spans="1:20" ht="36" x14ac:dyDescent="0.25">
      <c r="A53" s="38">
        <v>2</v>
      </c>
      <c r="B53" s="38">
        <v>0</v>
      </c>
      <c r="C53" s="38">
        <v>4</v>
      </c>
      <c r="D53" s="38">
        <v>9</v>
      </c>
      <c r="E53" s="38">
        <v>7</v>
      </c>
      <c r="F53" s="38" t="s">
        <v>147</v>
      </c>
      <c r="G53" s="25">
        <v>10</v>
      </c>
      <c r="H53" s="25" t="s">
        <v>88</v>
      </c>
      <c r="I53" s="42" t="s">
        <v>390</v>
      </c>
      <c r="J53" s="639">
        <v>12101320</v>
      </c>
      <c r="K53" s="639">
        <v>767811</v>
      </c>
      <c r="L53" s="639">
        <v>8155898</v>
      </c>
      <c r="M53" s="45">
        <v>100000</v>
      </c>
      <c r="N53" s="45"/>
      <c r="O53" s="45"/>
      <c r="P53" s="45">
        <f>SUM(M53+N53-O53)</f>
        <v>100000</v>
      </c>
      <c r="Q53" s="45"/>
      <c r="R53" s="45"/>
      <c r="S53" s="45"/>
      <c r="T53" s="45"/>
    </row>
    <row r="54" spans="1:20" ht="36" x14ac:dyDescent="0.25">
      <c r="A54" s="38">
        <v>2</v>
      </c>
      <c r="B54" s="38">
        <v>0</v>
      </c>
      <c r="C54" s="38">
        <v>4</v>
      </c>
      <c r="D54" s="38">
        <v>9</v>
      </c>
      <c r="E54" s="38">
        <v>8</v>
      </c>
      <c r="F54" s="38" t="s">
        <v>147</v>
      </c>
      <c r="G54" s="25">
        <v>10</v>
      </c>
      <c r="H54" s="25" t="s">
        <v>88</v>
      </c>
      <c r="I54" s="42" t="s">
        <v>391</v>
      </c>
      <c r="J54" s="639">
        <v>44027913</v>
      </c>
      <c r="K54" s="639">
        <v>15481207</v>
      </c>
      <c r="L54" s="639">
        <v>34743449</v>
      </c>
      <c r="M54" s="620">
        <v>14000000</v>
      </c>
      <c r="N54" s="45"/>
      <c r="O54" s="45"/>
      <c r="P54" s="45">
        <f>SUM(M54+N54-O54)</f>
        <v>14000000</v>
      </c>
      <c r="Q54" s="46"/>
      <c r="R54" s="45"/>
      <c r="S54" s="45"/>
      <c r="T54" s="45"/>
    </row>
    <row r="55" spans="1:20" ht="36" x14ac:dyDescent="0.25">
      <c r="A55" s="38">
        <v>2</v>
      </c>
      <c r="B55" s="38">
        <v>0</v>
      </c>
      <c r="C55" s="38">
        <v>4</v>
      </c>
      <c r="D55" s="38">
        <v>9</v>
      </c>
      <c r="E55" s="38">
        <v>9</v>
      </c>
      <c r="F55" s="38" t="s">
        <v>147</v>
      </c>
      <c r="G55" s="25">
        <v>10</v>
      </c>
      <c r="H55" s="25" t="s">
        <v>88</v>
      </c>
      <c r="I55" s="42" t="s">
        <v>392</v>
      </c>
      <c r="J55" s="639">
        <v>10358060</v>
      </c>
      <c r="K55" s="639">
        <v>767811</v>
      </c>
      <c r="L55" s="639">
        <v>9175385</v>
      </c>
      <c r="M55" s="45">
        <v>100000</v>
      </c>
      <c r="N55" s="45"/>
      <c r="O55" s="45"/>
      <c r="P55" s="45">
        <f>SUM(M55+N55-O55)</f>
        <v>100000</v>
      </c>
      <c r="Q55" s="45"/>
      <c r="R55" s="45"/>
      <c r="S55" s="45"/>
      <c r="T55" s="45"/>
    </row>
    <row r="56" spans="1:20" ht="36" x14ac:dyDescent="0.25">
      <c r="A56" s="38">
        <v>2</v>
      </c>
      <c r="B56" s="38">
        <v>0</v>
      </c>
      <c r="C56" s="38">
        <v>4</v>
      </c>
      <c r="D56" s="38">
        <v>9</v>
      </c>
      <c r="E56" s="38">
        <v>13</v>
      </c>
      <c r="F56" s="38" t="s">
        <v>147</v>
      </c>
      <c r="G56" s="25">
        <v>10</v>
      </c>
      <c r="H56" s="25" t="s">
        <v>88</v>
      </c>
      <c r="I56" s="42" t="s">
        <v>393</v>
      </c>
      <c r="J56" s="639">
        <v>1239245</v>
      </c>
      <c r="K56" s="639">
        <v>668488</v>
      </c>
      <c r="L56" s="639">
        <v>820983</v>
      </c>
      <c r="M56" s="45">
        <v>100000</v>
      </c>
      <c r="N56" s="45"/>
      <c r="O56" s="45"/>
      <c r="P56" s="45">
        <f>SUM(M56+N56-O56)</f>
        <v>100000</v>
      </c>
      <c r="Q56" s="45"/>
      <c r="R56" s="45"/>
      <c r="S56" s="45"/>
      <c r="T56" s="45"/>
    </row>
    <row r="57" spans="1:20" ht="20.100000000000001" x14ac:dyDescent="0.35">
      <c r="A57" s="32"/>
      <c r="B57" s="32"/>
      <c r="C57" s="32"/>
      <c r="D57" s="32"/>
      <c r="E57" s="32"/>
      <c r="F57" s="32"/>
      <c r="G57" s="33"/>
      <c r="H57" s="33"/>
      <c r="I57" s="35" t="s">
        <v>394</v>
      </c>
      <c r="J57" s="277">
        <f t="shared" ref="J57:P57" si="14">SUM(J52:J56)</f>
        <v>81455272</v>
      </c>
      <c r="K57" s="277">
        <f t="shared" si="14"/>
        <v>27971166</v>
      </c>
      <c r="L57" s="277">
        <f t="shared" si="14"/>
        <v>61901187</v>
      </c>
      <c r="M57" s="278">
        <f t="shared" si="14"/>
        <v>14400000</v>
      </c>
      <c r="N57" s="278">
        <f t="shared" si="14"/>
        <v>0</v>
      </c>
      <c r="O57" s="278">
        <f t="shared" si="14"/>
        <v>0</v>
      </c>
      <c r="P57" s="278">
        <f t="shared" si="14"/>
        <v>14400000</v>
      </c>
      <c r="Q57" s="351"/>
      <c r="R57" s="351">
        <f t="shared" ref="R57:T57" si="15">SUM(R52:R56)</f>
        <v>0</v>
      </c>
      <c r="S57" s="351">
        <f t="shared" si="15"/>
        <v>0</v>
      </c>
      <c r="T57" s="351">
        <f t="shared" si="15"/>
        <v>0</v>
      </c>
    </row>
    <row r="58" spans="1:20" ht="20.100000000000001" x14ac:dyDescent="0.35">
      <c r="A58" s="797" t="s">
        <v>396</v>
      </c>
      <c r="B58" s="798"/>
      <c r="C58" s="798"/>
      <c r="D58" s="798"/>
      <c r="E58" s="798"/>
      <c r="F58" s="798"/>
      <c r="G58" s="798"/>
      <c r="H58" s="798"/>
      <c r="I58" s="801"/>
      <c r="J58" s="25"/>
      <c r="K58" s="25"/>
      <c r="L58" s="25"/>
      <c r="M58" s="50"/>
      <c r="N58" s="50"/>
      <c r="O58" s="50"/>
      <c r="P58" s="50"/>
      <c r="Q58" s="50"/>
      <c r="R58" s="50"/>
      <c r="S58" s="50"/>
      <c r="T58" s="50"/>
    </row>
    <row r="59" spans="1:20" ht="20.100000000000001" x14ac:dyDescent="0.35">
      <c r="A59" s="38"/>
      <c r="B59" s="38"/>
      <c r="C59" s="38"/>
      <c r="D59" s="38"/>
      <c r="E59" s="38"/>
      <c r="F59" s="38"/>
      <c r="G59" s="25"/>
      <c r="H59" s="25"/>
      <c r="I59" s="36" t="s">
        <v>397</v>
      </c>
      <c r="J59" s="639">
        <v>868840</v>
      </c>
      <c r="K59" s="639">
        <v>500000</v>
      </c>
      <c r="L59" s="639"/>
      <c r="M59" s="45"/>
      <c r="N59" s="45"/>
      <c r="O59" s="45"/>
      <c r="P59" s="45">
        <f>SUM(M59+N59-O59)</f>
        <v>0</v>
      </c>
      <c r="Q59" s="266"/>
      <c r="R59" s="266"/>
      <c r="S59" s="266"/>
      <c r="T59" s="266"/>
    </row>
    <row r="60" spans="1:20" ht="36" x14ac:dyDescent="0.25">
      <c r="A60" s="38">
        <v>2</v>
      </c>
      <c r="B60" s="38">
        <v>0</v>
      </c>
      <c r="C60" s="38">
        <v>4</v>
      </c>
      <c r="D60" s="38">
        <v>10</v>
      </c>
      <c r="E60" s="38">
        <v>2</v>
      </c>
      <c r="F60" s="38" t="s">
        <v>147</v>
      </c>
      <c r="G60" s="25">
        <v>10</v>
      </c>
      <c r="H60" s="25" t="s">
        <v>88</v>
      </c>
      <c r="I60" s="36" t="s">
        <v>398</v>
      </c>
      <c r="J60" s="639">
        <v>5444300</v>
      </c>
      <c r="K60" s="639">
        <v>5236662</v>
      </c>
      <c r="L60" s="639">
        <v>5612740</v>
      </c>
      <c r="M60" s="45">
        <v>6778000</v>
      </c>
      <c r="N60" s="45"/>
      <c r="O60" s="45"/>
      <c r="P60" s="45">
        <f>SUM(M60+N60-O60)</f>
        <v>6778000</v>
      </c>
      <c r="Q60" s="266"/>
      <c r="R60" s="266"/>
      <c r="S60" s="266"/>
      <c r="T60" s="266"/>
    </row>
    <row r="61" spans="1:20" ht="20.100000000000001" x14ac:dyDescent="0.35">
      <c r="A61" s="32"/>
      <c r="B61" s="32"/>
      <c r="C61" s="32"/>
      <c r="D61" s="32"/>
      <c r="E61" s="32"/>
      <c r="F61" s="32"/>
      <c r="G61" s="33"/>
      <c r="H61" s="33"/>
      <c r="I61" s="35" t="s">
        <v>399</v>
      </c>
      <c r="J61" s="277">
        <f>SUM(J59:J60)</f>
        <v>6313140</v>
      </c>
      <c r="K61" s="277">
        <f>SUM(K59:K60)</f>
        <v>5736662</v>
      </c>
      <c r="L61" s="277">
        <f>SUM(L59:L60)</f>
        <v>5612740</v>
      </c>
      <c r="M61" s="278">
        <f>SUM(M60)</f>
        <v>6778000</v>
      </c>
      <c r="N61" s="278">
        <f>SUM(N60)</f>
        <v>0</v>
      </c>
      <c r="O61" s="278">
        <f>SUM(O60)</f>
        <v>0</v>
      </c>
      <c r="P61" s="278">
        <f>SUM(P60)</f>
        <v>6778000</v>
      </c>
      <c r="Q61" s="351"/>
      <c r="R61" s="351">
        <f>SUM(R59:R60)</f>
        <v>0</v>
      </c>
      <c r="S61" s="351">
        <f>SUM(S59:S60)</f>
        <v>0</v>
      </c>
      <c r="T61" s="351">
        <f>SUM(T59:T60)</f>
        <v>0</v>
      </c>
    </row>
    <row r="62" spans="1:20" ht="20.100000000000001" x14ac:dyDescent="0.35">
      <c r="A62" s="797" t="s">
        <v>125</v>
      </c>
      <c r="B62" s="798"/>
      <c r="C62" s="798"/>
      <c r="D62" s="798"/>
      <c r="E62" s="798"/>
      <c r="F62" s="798"/>
      <c r="G62" s="798"/>
      <c r="H62" s="798"/>
      <c r="I62" s="798"/>
      <c r="J62" s="25"/>
      <c r="K62" s="25"/>
      <c r="L62" s="25"/>
      <c r="M62" s="50"/>
      <c r="N62" s="50"/>
      <c r="O62" s="50"/>
      <c r="P62" s="50"/>
      <c r="Q62" s="50"/>
      <c r="R62" s="50"/>
      <c r="S62" s="50"/>
      <c r="T62" s="50"/>
    </row>
    <row r="63" spans="1:20" ht="36" x14ac:dyDescent="0.25">
      <c r="A63" s="38">
        <v>2</v>
      </c>
      <c r="B63" s="38">
        <v>0</v>
      </c>
      <c r="C63" s="38">
        <v>4</v>
      </c>
      <c r="D63" s="38">
        <v>11</v>
      </c>
      <c r="E63" s="38">
        <v>1</v>
      </c>
      <c r="F63" s="38" t="s">
        <v>147</v>
      </c>
      <c r="G63" s="25">
        <v>10</v>
      </c>
      <c r="H63" s="25" t="s">
        <v>88</v>
      </c>
      <c r="I63" s="42" t="s">
        <v>400</v>
      </c>
      <c r="J63" s="799">
        <v>29008131.350000001</v>
      </c>
      <c r="K63" s="799">
        <v>20292720.050000001</v>
      </c>
      <c r="L63" s="321">
        <v>4233988</v>
      </c>
      <c r="M63" s="45"/>
      <c r="N63" s="45"/>
      <c r="O63" s="45"/>
      <c r="P63" s="45">
        <f>SUM(M63+N63-O63)</f>
        <v>0</v>
      </c>
      <c r="Q63" s="45"/>
      <c r="R63" s="45"/>
      <c r="S63" s="45"/>
      <c r="T63" s="45"/>
    </row>
    <row r="64" spans="1:20" ht="36" x14ac:dyDescent="0.25">
      <c r="A64" s="38">
        <v>2</v>
      </c>
      <c r="B64" s="38">
        <v>0</v>
      </c>
      <c r="C64" s="38">
        <v>4</v>
      </c>
      <c r="D64" s="38">
        <v>11</v>
      </c>
      <c r="E64" s="38">
        <v>1</v>
      </c>
      <c r="F64" s="38" t="s">
        <v>147</v>
      </c>
      <c r="G64" s="25">
        <v>10</v>
      </c>
      <c r="H64" s="25" t="s">
        <v>88</v>
      </c>
      <c r="I64" s="36" t="s">
        <v>401</v>
      </c>
      <c r="J64" s="799"/>
      <c r="K64" s="799"/>
      <c r="L64" s="321">
        <v>4799781.63</v>
      </c>
      <c r="M64" s="45">
        <v>0</v>
      </c>
      <c r="N64" s="45"/>
      <c r="O64" s="45"/>
      <c r="P64" s="45">
        <f>SUM(M64+N64-O64)</f>
        <v>0</v>
      </c>
      <c r="Q64" s="45"/>
      <c r="R64" s="45"/>
      <c r="S64" s="45"/>
      <c r="T64" s="45"/>
    </row>
    <row r="65" spans="1:20" ht="36" x14ac:dyDescent="0.25">
      <c r="A65" s="38">
        <v>2</v>
      </c>
      <c r="B65" s="38">
        <v>0</v>
      </c>
      <c r="C65" s="38">
        <v>4</v>
      </c>
      <c r="D65" s="38">
        <v>11</v>
      </c>
      <c r="E65" s="38">
        <v>2</v>
      </c>
      <c r="F65" s="38" t="s">
        <v>147</v>
      </c>
      <c r="G65" s="25">
        <v>10</v>
      </c>
      <c r="H65" s="25" t="s">
        <v>88</v>
      </c>
      <c r="I65" s="42" t="s">
        <v>402</v>
      </c>
      <c r="J65" s="799">
        <v>19651579</v>
      </c>
      <c r="K65" s="799">
        <v>37367844.5</v>
      </c>
      <c r="L65" s="639">
        <v>11937409</v>
      </c>
      <c r="M65" s="620">
        <v>35000000</v>
      </c>
      <c r="N65" s="45"/>
      <c r="O65" s="45"/>
      <c r="P65" s="45">
        <f>SUM(M65+N65-O65)</f>
        <v>35000000</v>
      </c>
      <c r="Q65" s="45"/>
      <c r="R65" s="45"/>
      <c r="S65" s="45"/>
      <c r="T65" s="45"/>
    </row>
    <row r="66" spans="1:20" ht="36" x14ac:dyDescent="0.25">
      <c r="A66" s="38">
        <v>2</v>
      </c>
      <c r="B66" s="38">
        <v>0</v>
      </c>
      <c r="C66" s="38">
        <v>4</v>
      </c>
      <c r="D66" s="38">
        <v>11</v>
      </c>
      <c r="E66" s="38">
        <v>2</v>
      </c>
      <c r="F66" s="38" t="s">
        <v>147</v>
      </c>
      <c r="G66" s="25">
        <v>10</v>
      </c>
      <c r="H66" s="25" t="s">
        <v>88</v>
      </c>
      <c r="I66" s="36" t="s">
        <v>115</v>
      </c>
      <c r="J66" s="799"/>
      <c r="K66" s="799"/>
      <c r="L66" s="639">
        <v>12823734</v>
      </c>
      <c r="M66" s="621">
        <v>20000000</v>
      </c>
      <c r="N66" s="45"/>
      <c r="O66" s="45"/>
      <c r="P66" s="45">
        <f>SUM(M66+N66-O66)</f>
        <v>20000000</v>
      </c>
      <c r="Q66" s="360">
        <v>4000000</v>
      </c>
      <c r="R66" s="361">
        <v>16000000</v>
      </c>
      <c r="S66" s="362"/>
      <c r="T66" s="360">
        <f>SUM(R66-S66)</f>
        <v>16000000</v>
      </c>
    </row>
    <row r="67" spans="1:20" ht="20.100000000000001" x14ac:dyDescent="0.35">
      <c r="A67" s="32"/>
      <c r="B67" s="32"/>
      <c r="C67" s="32"/>
      <c r="D67" s="32"/>
      <c r="E67" s="32"/>
      <c r="F67" s="32"/>
      <c r="G67" s="33"/>
      <c r="H67" s="33"/>
      <c r="I67" s="35" t="s">
        <v>137</v>
      </c>
      <c r="J67" s="277">
        <f t="shared" ref="J67:T67" si="16">SUM(J63:J66)</f>
        <v>48659710.350000001</v>
      </c>
      <c r="K67" s="277">
        <f t="shared" si="16"/>
        <v>57660564.549999997</v>
      </c>
      <c r="L67" s="277">
        <f t="shared" si="16"/>
        <v>33794912.629999995</v>
      </c>
      <c r="M67" s="278">
        <f t="shared" si="16"/>
        <v>55000000</v>
      </c>
      <c r="N67" s="278">
        <f t="shared" si="16"/>
        <v>0</v>
      </c>
      <c r="O67" s="278">
        <f t="shared" si="16"/>
        <v>0</v>
      </c>
      <c r="P67" s="278">
        <f t="shared" si="16"/>
        <v>55000000</v>
      </c>
      <c r="Q67" s="49">
        <f t="shared" si="16"/>
        <v>4000000</v>
      </c>
      <c r="R67" s="49">
        <f t="shared" si="16"/>
        <v>16000000</v>
      </c>
      <c r="S67" s="49">
        <f t="shared" si="16"/>
        <v>0</v>
      </c>
      <c r="T67" s="49">
        <f t="shared" si="16"/>
        <v>16000000</v>
      </c>
    </row>
    <row r="69" spans="1:20" ht="29.45" customHeight="1" x14ac:dyDescent="0.35">
      <c r="I69" s="640" t="s">
        <v>618</v>
      </c>
      <c r="J69" s="640"/>
      <c r="K69" s="640"/>
      <c r="L69" s="640"/>
      <c r="M69" s="640"/>
      <c r="N69" s="640"/>
      <c r="O69" s="640"/>
      <c r="P69" s="640"/>
      <c r="Q69" s="641">
        <f>SUM(Q9+Q12+Q23+Q32+Q38+Q44+Q50+Q67)</f>
        <v>12000000</v>
      </c>
      <c r="R69" s="641">
        <f>SUM(R9+R12+R23+R32+R38+R44+R50+R67)</f>
        <v>53300000</v>
      </c>
      <c r="S69" s="641">
        <f>SUM(S9+S12+S23+S32+S38+S44+S50+S67)</f>
        <v>0</v>
      </c>
      <c r="T69" s="641">
        <f>SUM(T9+T12+T23+T32+T38+T44+T50+T67)</f>
        <v>53300000</v>
      </c>
    </row>
  </sheetData>
  <mergeCells count="16">
    <mergeCell ref="L2:L3"/>
    <mergeCell ref="A4:I4"/>
    <mergeCell ref="A13:I13"/>
    <mergeCell ref="A24:I24"/>
    <mergeCell ref="J2:J3"/>
    <mergeCell ref="K2:K3"/>
    <mergeCell ref="A33:I33"/>
    <mergeCell ref="A39:I39"/>
    <mergeCell ref="A45:I45"/>
    <mergeCell ref="A51:I51"/>
    <mergeCell ref="A58:I58"/>
    <mergeCell ref="A62:I62"/>
    <mergeCell ref="J63:J64"/>
    <mergeCell ref="K63:K64"/>
    <mergeCell ref="J65:J66"/>
    <mergeCell ref="K65:K6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91"/>
  <sheetViews>
    <sheetView workbookViewId="0">
      <selection activeCell="A4" sqref="A4:D4"/>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85546875" customWidth="1"/>
    <col min="10" max="10" width="35.42578125" customWidth="1"/>
  </cols>
  <sheetData>
    <row r="3" spans="1:10" ht="15.75" customHeight="1" x14ac:dyDescent="0.25">
      <c r="A3" s="804" t="s">
        <v>590</v>
      </c>
      <c r="B3" s="805"/>
      <c r="C3" s="805"/>
      <c r="D3" s="805"/>
      <c r="E3" s="805"/>
      <c r="F3" s="805"/>
      <c r="G3" s="805"/>
      <c r="H3" s="805"/>
      <c r="I3" s="805"/>
      <c r="J3" s="806"/>
    </row>
    <row r="4" spans="1:10" ht="42" x14ac:dyDescent="0.35">
      <c r="A4" s="578" t="s">
        <v>111</v>
      </c>
      <c r="B4" s="578" t="s">
        <v>110</v>
      </c>
      <c r="C4" s="578" t="s">
        <v>109</v>
      </c>
      <c r="D4" s="578" t="s">
        <v>108</v>
      </c>
      <c r="E4" s="578" t="s">
        <v>107</v>
      </c>
      <c r="F4" s="578" t="s">
        <v>106</v>
      </c>
      <c r="G4" s="578" t="s">
        <v>105</v>
      </c>
      <c r="H4" s="578" t="s">
        <v>104</v>
      </c>
      <c r="I4" s="59" t="s">
        <v>103</v>
      </c>
      <c r="J4" s="59" t="s">
        <v>332</v>
      </c>
    </row>
    <row r="5" spans="1:10" ht="20.100000000000001" x14ac:dyDescent="0.35">
      <c r="A5" s="38">
        <v>1</v>
      </c>
      <c r="B5" s="38">
        <v>0</v>
      </c>
      <c r="C5" s="38">
        <v>2</v>
      </c>
      <c r="D5" s="38">
        <v>12</v>
      </c>
      <c r="E5" s="38"/>
      <c r="F5" s="38"/>
      <c r="G5" s="38">
        <v>10</v>
      </c>
      <c r="H5" s="160"/>
      <c r="I5" s="161" t="s">
        <v>354</v>
      </c>
      <c r="J5" s="45">
        <v>122923893</v>
      </c>
    </row>
    <row r="6" spans="1:10" ht="27.95" x14ac:dyDescent="0.35">
      <c r="A6" s="38">
        <v>1</v>
      </c>
      <c r="B6" s="38">
        <v>0</v>
      </c>
      <c r="C6" s="38">
        <v>2</v>
      </c>
      <c r="D6" s="38">
        <v>100</v>
      </c>
      <c r="E6" s="38"/>
      <c r="F6" s="38"/>
      <c r="G6" s="38"/>
      <c r="H6" s="38"/>
      <c r="I6" s="36" t="s">
        <v>356</v>
      </c>
      <c r="J6" s="45">
        <v>1500000</v>
      </c>
    </row>
    <row r="7" spans="1:10" ht="27.95" x14ac:dyDescent="0.35">
      <c r="A7" s="185"/>
      <c r="B7" s="185"/>
      <c r="C7" s="185"/>
      <c r="D7" s="185"/>
      <c r="E7" s="185"/>
      <c r="F7" s="185"/>
      <c r="G7" s="185"/>
      <c r="H7" s="185"/>
      <c r="I7" s="186" t="s">
        <v>357</v>
      </c>
      <c r="J7" s="188">
        <f>SUM(J5:J6)</f>
        <v>124423893</v>
      </c>
    </row>
    <row r="8" spans="1:10" ht="20.100000000000001" x14ac:dyDescent="0.35">
      <c r="A8" s="202"/>
      <c r="B8" s="202"/>
      <c r="C8" s="202"/>
      <c r="D8" s="202"/>
      <c r="E8" s="202"/>
      <c r="F8" s="202"/>
      <c r="G8" s="202"/>
      <c r="H8" s="202"/>
      <c r="I8" s="186" t="s">
        <v>358</v>
      </c>
      <c r="J8" s="188">
        <v>0</v>
      </c>
    </row>
    <row r="9" spans="1:10" ht="20.100000000000001" x14ac:dyDescent="0.35">
      <c r="A9" s="208">
        <v>2</v>
      </c>
      <c r="B9" s="208">
        <v>0</v>
      </c>
      <c r="C9" s="208">
        <v>3</v>
      </c>
      <c r="D9" s="209">
        <v>50</v>
      </c>
      <c r="E9" s="209">
        <v>3</v>
      </c>
      <c r="F9" s="209"/>
      <c r="G9" s="209"/>
      <c r="H9" s="209"/>
      <c r="I9" s="36" t="s">
        <v>359</v>
      </c>
      <c r="J9" s="45">
        <v>28920000</v>
      </c>
    </row>
    <row r="10" spans="1:10" ht="20.25" x14ac:dyDescent="0.25">
      <c r="A10" s="208">
        <v>2</v>
      </c>
      <c r="B10" s="208">
        <v>0</v>
      </c>
      <c r="C10" s="208">
        <v>3</v>
      </c>
      <c r="D10" s="209">
        <v>50</v>
      </c>
      <c r="E10" s="209" t="s">
        <v>101</v>
      </c>
      <c r="F10" s="209">
        <v>0</v>
      </c>
      <c r="G10" s="209">
        <v>10</v>
      </c>
      <c r="H10" s="209"/>
      <c r="I10" s="36" t="s">
        <v>360</v>
      </c>
      <c r="J10" s="45">
        <v>950000</v>
      </c>
    </row>
    <row r="11" spans="1:10" ht="20.100000000000001" x14ac:dyDescent="0.35">
      <c r="A11" s="209">
        <v>2</v>
      </c>
      <c r="B11" s="209">
        <v>0</v>
      </c>
      <c r="C11" s="209">
        <v>3</v>
      </c>
      <c r="D11" s="209">
        <v>51</v>
      </c>
      <c r="E11" s="209">
        <v>1</v>
      </c>
      <c r="F11" s="209">
        <v>0</v>
      </c>
      <c r="G11" s="209">
        <v>10</v>
      </c>
      <c r="H11" s="209"/>
      <c r="I11" s="36" t="s">
        <v>361</v>
      </c>
      <c r="J11" s="45">
        <v>0</v>
      </c>
    </row>
    <row r="12" spans="1:10" ht="20.100000000000001" x14ac:dyDescent="0.35">
      <c r="A12" s="185">
        <v>2</v>
      </c>
      <c r="B12" s="185">
        <v>0</v>
      </c>
      <c r="C12" s="185">
        <v>3</v>
      </c>
      <c r="D12" s="214"/>
      <c r="E12" s="214"/>
      <c r="F12" s="214"/>
      <c r="G12" s="214"/>
      <c r="H12" s="214"/>
      <c r="I12" s="186" t="s">
        <v>362</v>
      </c>
      <c r="J12" s="188">
        <f t="shared" ref="J12" si="0">SUM(J9:J11)</f>
        <v>29870000</v>
      </c>
    </row>
    <row r="13" spans="1:10" ht="20.100000000000001" x14ac:dyDescent="0.35">
      <c r="A13" s="208">
        <v>2</v>
      </c>
      <c r="B13" s="208">
        <v>0</v>
      </c>
      <c r="C13" s="208">
        <v>4</v>
      </c>
      <c r="D13" s="209"/>
      <c r="E13" s="209"/>
      <c r="F13" s="209"/>
      <c r="G13" s="209"/>
      <c r="H13" s="209"/>
      <c r="I13" s="222" t="s">
        <v>363</v>
      </c>
      <c r="J13" s="599"/>
    </row>
    <row r="14" spans="1:10" ht="20.100000000000001" x14ac:dyDescent="0.35">
      <c r="A14" s="232"/>
      <c r="B14" s="232"/>
      <c r="C14" s="232"/>
      <c r="D14" s="232"/>
      <c r="E14" s="232"/>
      <c r="F14" s="232"/>
      <c r="G14" s="232"/>
      <c r="H14" s="232"/>
      <c r="I14" s="233"/>
      <c r="J14" s="236"/>
    </row>
    <row r="15" spans="1:10" ht="20.100000000000001" x14ac:dyDescent="0.35">
      <c r="A15" s="246"/>
      <c r="B15" s="246"/>
      <c r="C15" s="246"/>
      <c r="D15" s="246"/>
      <c r="E15" s="246"/>
      <c r="F15" s="246"/>
      <c r="G15" s="246"/>
      <c r="H15" s="246"/>
      <c r="I15" s="247"/>
      <c r="J15" s="250"/>
    </row>
    <row r="16" spans="1:10" ht="20.100000000000001" x14ac:dyDescent="0.35">
      <c r="A16" s="800" t="s">
        <v>114</v>
      </c>
      <c r="B16" s="800"/>
      <c r="C16" s="800"/>
      <c r="D16" s="800"/>
      <c r="E16" s="800"/>
      <c r="F16" s="800"/>
      <c r="G16" s="800"/>
      <c r="H16" s="800"/>
      <c r="I16" s="800"/>
      <c r="J16" s="45"/>
    </row>
    <row r="17" spans="1:10" ht="36" x14ac:dyDescent="0.25">
      <c r="A17" s="265">
        <v>2</v>
      </c>
      <c r="B17" s="265">
        <v>0</v>
      </c>
      <c r="C17" s="265">
        <v>4</v>
      </c>
      <c r="D17" s="265">
        <v>1</v>
      </c>
      <c r="E17" s="265">
        <v>6</v>
      </c>
      <c r="F17" s="38" t="s">
        <v>147</v>
      </c>
      <c r="G17" s="25">
        <v>10</v>
      </c>
      <c r="H17" s="25" t="s">
        <v>88</v>
      </c>
      <c r="I17" s="36" t="s">
        <v>364</v>
      </c>
      <c r="J17" s="45"/>
    </row>
    <row r="18" spans="1:10" ht="36" x14ac:dyDescent="0.25">
      <c r="A18" s="38">
        <v>2</v>
      </c>
      <c r="B18" s="38">
        <v>0</v>
      </c>
      <c r="C18" s="38">
        <v>4</v>
      </c>
      <c r="D18" s="38">
        <v>1</v>
      </c>
      <c r="E18" s="38">
        <v>8</v>
      </c>
      <c r="F18" s="38" t="s">
        <v>147</v>
      </c>
      <c r="G18" s="25">
        <v>10</v>
      </c>
      <c r="H18" s="25" t="s">
        <v>88</v>
      </c>
      <c r="I18" s="42" t="s">
        <v>365</v>
      </c>
      <c r="J18" s="47">
        <v>20100403</v>
      </c>
    </row>
    <row r="19" spans="1:10" ht="36" x14ac:dyDescent="0.25">
      <c r="A19" s="38">
        <v>2</v>
      </c>
      <c r="B19" s="38">
        <v>0</v>
      </c>
      <c r="C19" s="38">
        <v>4</v>
      </c>
      <c r="D19" s="38">
        <v>1</v>
      </c>
      <c r="E19" s="38">
        <v>25</v>
      </c>
      <c r="F19" s="38" t="s">
        <v>147</v>
      </c>
      <c r="G19" s="25">
        <v>10</v>
      </c>
      <c r="H19" s="25" t="s">
        <v>88</v>
      </c>
      <c r="I19" s="36" t="s">
        <v>186</v>
      </c>
      <c r="J19" s="47">
        <v>45000000</v>
      </c>
    </row>
    <row r="20" spans="1:10" ht="36" x14ac:dyDescent="0.25">
      <c r="A20" s="38">
        <v>2</v>
      </c>
      <c r="B20" s="38">
        <v>0</v>
      </c>
      <c r="C20" s="38">
        <v>4</v>
      </c>
      <c r="D20" s="38">
        <v>1</v>
      </c>
      <c r="E20" s="38">
        <v>26</v>
      </c>
      <c r="F20" s="38" t="s">
        <v>147</v>
      </c>
      <c r="G20" s="25">
        <v>10</v>
      </c>
      <c r="H20" s="25" t="s">
        <v>88</v>
      </c>
      <c r="I20" s="36" t="s">
        <v>154</v>
      </c>
      <c r="J20" s="45"/>
    </row>
    <row r="21" spans="1:10" ht="20.100000000000001" x14ac:dyDescent="0.35">
      <c r="A21" s="32"/>
      <c r="B21" s="32"/>
      <c r="C21" s="32"/>
      <c r="D21" s="32"/>
      <c r="E21" s="32"/>
      <c r="F21" s="32"/>
      <c r="G21" s="33"/>
      <c r="H21" s="33"/>
      <c r="I21" s="35" t="s">
        <v>135</v>
      </c>
      <c r="J21" s="278">
        <f t="shared" ref="J21" si="1">SUM(J17:J20)</f>
        <v>65100403</v>
      </c>
    </row>
    <row r="22" spans="1:10" ht="36" x14ac:dyDescent="0.25">
      <c r="A22" s="38">
        <v>2</v>
      </c>
      <c r="B22" s="38">
        <v>0</v>
      </c>
      <c r="C22" s="38">
        <v>4</v>
      </c>
      <c r="D22" s="38">
        <v>2</v>
      </c>
      <c r="E22" s="38">
        <v>2</v>
      </c>
      <c r="F22" s="38" t="s">
        <v>147</v>
      </c>
      <c r="G22" s="25">
        <v>10</v>
      </c>
      <c r="H22" s="25" t="s">
        <v>88</v>
      </c>
      <c r="I22" s="36" t="s">
        <v>366</v>
      </c>
      <c r="J22" s="45"/>
    </row>
    <row r="23" spans="1:10" ht="36" x14ac:dyDescent="0.25">
      <c r="A23" s="38">
        <v>2</v>
      </c>
      <c r="B23" s="38">
        <v>0</v>
      </c>
      <c r="C23" s="38">
        <v>4</v>
      </c>
      <c r="D23" s="38">
        <v>2</v>
      </c>
      <c r="E23" s="38">
        <v>2</v>
      </c>
      <c r="F23" s="38" t="s">
        <v>147</v>
      </c>
      <c r="G23" s="25">
        <v>10</v>
      </c>
      <c r="H23" s="25" t="s">
        <v>88</v>
      </c>
      <c r="I23" s="36" t="s">
        <v>367</v>
      </c>
      <c r="J23" s="45">
        <v>20000000</v>
      </c>
    </row>
    <row r="24" spans="1:10" ht="20.100000000000001" x14ac:dyDescent="0.35">
      <c r="A24" s="32"/>
      <c r="B24" s="32"/>
      <c r="C24" s="32"/>
      <c r="D24" s="32"/>
      <c r="E24" s="32"/>
      <c r="F24" s="32"/>
      <c r="G24" s="33"/>
      <c r="H24" s="33"/>
      <c r="I24" s="35" t="s">
        <v>368</v>
      </c>
      <c r="J24" s="278">
        <f t="shared" ref="J24" si="2">SUM(J22:J23)</f>
        <v>20000000</v>
      </c>
    </row>
    <row r="25" spans="1:10" ht="20.100000000000001" x14ac:dyDescent="0.35">
      <c r="A25" s="800" t="s">
        <v>127</v>
      </c>
      <c r="B25" s="800"/>
      <c r="C25" s="800"/>
      <c r="D25" s="800"/>
      <c r="E25" s="800"/>
      <c r="F25" s="800"/>
      <c r="G25" s="800"/>
      <c r="H25" s="800"/>
      <c r="I25" s="800"/>
      <c r="J25" s="50"/>
    </row>
    <row r="26" spans="1:10" ht="36" x14ac:dyDescent="0.25">
      <c r="A26" s="38">
        <v>2</v>
      </c>
      <c r="B26" s="38">
        <v>0</v>
      </c>
      <c r="C26" s="38">
        <v>4</v>
      </c>
      <c r="D26" s="38">
        <v>4</v>
      </c>
      <c r="E26" s="38">
        <v>1</v>
      </c>
      <c r="F26" s="38" t="s">
        <v>147</v>
      </c>
      <c r="G26" s="25">
        <v>10</v>
      </c>
      <c r="H26" s="25" t="s">
        <v>88</v>
      </c>
      <c r="I26" s="42" t="s">
        <v>369</v>
      </c>
      <c r="J26" s="47">
        <v>43000000</v>
      </c>
    </row>
    <row r="27" spans="1:10" ht="36" x14ac:dyDescent="0.25">
      <c r="A27" s="38">
        <v>2</v>
      </c>
      <c r="B27" s="38">
        <v>0</v>
      </c>
      <c r="C27" s="38">
        <v>4</v>
      </c>
      <c r="D27" s="38">
        <v>4</v>
      </c>
      <c r="E27" s="38">
        <v>2</v>
      </c>
      <c r="F27" s="38" t="s">
        <v>147</v>
      </c>
      <c r="G27" s="25">
        <v>10</v>
      </c>
      <c r="H27" s="25" t="s">
        <v>88</v>
      </c>
      <c r="I27" s="42" t="s">
        <v>370</v>
      </c>
      <c r="J27" s="47">
        <v>24000000</v>
      </c>
    </row>
    <row r="28" spans="1:10" ht="36" x14ac:dyDescent="0.25">
      <c r="A28" s="38">
        <v>2</v>
      </c>
      <c r="B28" s="38">
        <v>0</v>
      </c>
      <c r="C28" s="38">
        <v>4</v>
      </c>
      <c r="D28" s="38">
        <v>4</v>
      </c>
      <c r="E28" s="38">
        <v>6</v>
      </c>
      <c r="F28" s="38" t="s">
        <v>147</v>
      </c>
      <c r="G28" s="25">
        <v>10</v>
      </c>
      <c r="H28" s="25" t="s">
        <v>88</v>
      </c>
      <c r="I28" s="42" t="s">
        <v>371</v>
      </c>
      <c r="J28" s="47">
        <v>8000000</v>
      </c>
    </row>
    <row r="29" spans="1:10" ht="36" x14ac:dyDescent="0.25">
      <c r="A29" s="38">
        <v>2</v>
      </c>
      <c r="B29" s="38">
        <v>0</v>
      </c>
      <c r="C29" s="38">
        <v>4</v>
      </c>
      <c r="D29" s="38">
        <v>4</v>
      </c>
      <c r="E29" s="38">
        <v>15</v>
      </c>
      <c r="F29" s="38" t="s">
        <v>147</v>
      </c>
      <c r="G29" s="25">
        <v>10</v>
      </c>
      <c r="H29" s="25" t="s">
        <v>88</v>
      </c>
      <c r="I29" s="42" t="s">
        <v>155</v>
      </c>
      <c r="J29" s="47">
        <v>182000000</v>
      </c>
    </row>
    <row r="30" spans="1:10" ht="36" x14ac:dyDescent="0.25">
      <c r="A30" s="38">
        <v>2</v>
      </c>
      <c r="B30" s="38">
        <v>0</v>
      </c>
      <c r="C30" s="38">
        <v>4</v>
      </c>
      <c r="D30" s="38">
        <v>4</v>
      </c>
      <c r="E30" s="38">
        <v>17</v>
      </c>
      <c r="F30" s="38" t="s">
        <v>147</v>
      </c>
      <c r="G30" s="25">
        <v>10</v>
      </c>
      <c r="H30" s="25" t="s">
        <v>88</v>
      </c>
      <c r="I30" s="42" t="s">
        <v>128</v>
      </c>
      <c r="J30" s="45">
        <v>400000</v>
      </c>
    </row>
    <row r="31" spans="1:10" ht="36" x14ac:dyDescent="0.25">
      <c r="A31" s="38">
        <v>2</v>
      </c>
      <c r="B31" s="38">
        <v>0</v>
      </c>
      <c r="C31" s="38">
        <v>4</v>
      </c>
      <c r="D31" s="38">
        <v>4</v>
      </c>
      <c r="E31" s="38">
        <v>18</v>
      </c>
      <c r="F31" s="38" t="s">
        <v>147</v>
      </c>
      <c r="G31" s="25">
        <v>10</v>
      </c>
      <c r="H31" s="25" t="s">
        <v>88</v>
      </c>
      <c r="I31" s="42" t="s">
        <v>129</v>
      </c>
      <c r="J31" s="45">
        <v>18800000</v>
      </c>
    </row>
    <row r="32" spans="1:10" ht="36" x14ac:dyDescent="0.25">
      <c r="A32" s="38">
        <v>2</v>
      </c>
      <c r="B32" s="38">
        <v>0</v>
      </c>
      <c r="C32" s="38">
        <v>4</v>
      </c>
      <c r="D32" s="38">
        <v>4</v>
      </c>
      <c r="E32" s="38">
        <v>20</v>
      </c>
      <c r="F32" s="38" t="s">
        <v>147</v>
      </c>
      <c r="G32" s="25">
        <v>10</v>
      </c>
      <c r="H32" s="25" t="s">
        <v>88</v>
      </c>
      <c r="I32" s="42" t="s">
        <v>176</v>
      </c>
      <c r="J32" s="45">
        <v>30000000</v>
      </c>
    </row>
    <row r="33" spans="1:10" ht="36" x14ac:dyDescent="0.25">
      <c r="A33" s="38">
        <v>2</v>
      </c>
      <c r="B33" s="38">
        <v>0</v>
      </c>
      <c r="C33" s="38">
        <v>4</v>
      </c>
      <c r="D33" s="38">
        <v>4</v>
      </c>
      <c r="E33" s="38">
        <v>21</v>
      </c>
      <c r="F33" s="38" t="s">
        <v>147</v>
      </c>
      <c r="G33" s="25">
        <v>10</v>
      </c>
      <c r="H33" s="25" t="s">
        <v>88</v>
      </c>
      <c r="I33" s="36" t="s">
        <v>151</v>
      </c>
      <c r="J33" s="45"/>
    </row>
    <row r="34" spans="1:10" ht="36" x14ac:dyDescent="0.25">
      <c r="A34" s="38">
        <v>2</v>
      </c>
      <c r="B34" s="38">
        <v>0</v>
      </c>
      <c r="C34" s="38">
        <v>4</v>
      </c>
      <c r="D34" s="38">
        <v>4</v>
      </c>
      <c r="E34" s="38">
        <v>23</v>
      </c>
      <c r="F34" s="38" t="s">
        <v>147</v>
      </c>
      <c r="G34" s="25">
        <v>10</v>
      </c>
      <c r="H34" s="25" t="s">
        <v>88</v>
      </c>
      <c r="I34" s="36" t="s">
        <v>130</v>
      </c>
      <c r="J34" s="45">
        <v>5000000</v>
      </c>
    </row>
    <row r="35" spans="1:10" ht="20.25" x14ac:dyDescent="0.25">
      <c r="A35" s="32"/>
      <c r="B35" s="32"/>
      <c r="C35" s="32"/>
      <c r="D35" s="32"/>
      <c r="E35" s="32"/>
      <c r="F35" s="32"/>
      <c r="G35" s="33"/>
      <c r="H35" s="33"/>
      <c r="I35" s="35" t="s">
        <v>131</v>
      </c>
      <c r="J35" s="278">
        <f t="shared" ref="J35" si="3">SUM(J26:J34)</f>
        <v>311200000</v>
      </c>
    </row>
    <row r="36" spans="1:10" ht="20.25" x14ac:dyDescent="0.25">
      <c r="A36" s="800" t="s">
        <v>132</v>
      </c>
      <c r="B36" s="800"/>
      <c r="C36" s="800"/>
      <c r="D36" s="800"/>
      <c r="E36" s="800"/>
      <c r="F36" s="800"/>
      <c r="G36" s="800"/>
      <c r="H36" s="800"/>
      <c r="I36" s="800"/>
      <c r="J36" s="50"/>
    </row>
    <row r="37" spans="1:10" ht="36" x14ac:dyDescent="0.25">
      <c r="A37" s="38">
        <v>2</v>
      </c>
      <c r="B37" s="38">
        <v>0</v>
      </c>
      <c r="C37" s="38">
        <v>4</v>
      </c>
      <c r="D37" s="38">
        <v>5</v>
      </c>
      <c r="E37" s="38">
        <v>1</v>
      </c>
      <c r="F37" s="38" t="s">
        <v>147</v>
      </c>
      <c r="G37" s="25">
        <v>10</v>
      </c>
      <c r="H37" s="25" t="s">
        <v>88</v>
      </c>
      <c r="I37" s="42" t="s">
        <v>375</v>
      </c>
      <c r="J37" s="45">
        <v>110520000</v>
      </c>
    </row>
    <row r="38" spans="1:10" ht="36" x14ac:dyDescent="0.25">
      <c r="A38" s="38">
        <v>2</v>
      </c>
      <c r="B38" s="38">
        <v>0</v>
      </c>
      <c r="C38" s="38">
        <v>4</v>
      </c>
      <c r="D38" s="38">
        <v>5</v>
      </c>
      <c r="E38" s="38">
        <v>2</v>
      </c>
      <c r="F38" s="38" t="s">
        <v>147</v>
      </c>
      <c r="G38" s="25">
        <v>10</v>
      </c>
      <c r="H38" s="25" t="s">
        <v>88</v>
      </c>
      <c r="I38" s="42" t="s">
        <v>185</v>
      </c>
      <c r="J38" s="45">
        <v>35500000</v>
      </c>
    </row>
    <row r="39" spans="1:10" ht="36" x14ac:dyDescent="0.25">
      <c r="A39" s="38">
        <v>2</v>
      </c>
      <c r="B39" s="38">
        <v>0</v>
      </c>
      <c r="C39" s="38">
        <v>4</v>
      </c>
      <c r="D39" s="38">
        <v>5</v>
      </c>
      <c r="E39" s="38">
        <v>5</v>
      </c>
      <c r="F39" s="38" t="s">
        <v>147</v>
      </c>
      <c r="G39" s="25">
        <v>10</v>
      </c>
      <c r="H39" s="25" t="s">
        <v>88</v>
      </c>
      <c r="I39" s="42" t="s">
        <v>184</v>
      </c>
      <c r="J39" s="45">
        <v>131200000</v>
      </c>
    </row>
    <row r="40" spans="1:10" ht="36" x14ac:dyDescent="0.25">
      <c r="A40" s="38">
        <v>2</v>
      </c>
      <c r="B40" s="38">
        <v>0</v>
      </c>
      <c r="C40" s="38">
        <v>4</v>
      </c>
      <c r="D40" s="38">
        <v>5</v>
      </c>
      <c r="E40" s="38">
        <v>6</v>
      </c>
      <c r="F40" s="38" t="s">
        <v>147</v>
      </c>
      <c r="G40" s="25">
        <v>10</v>
      </c>
      <c r="H40" s="25" t="s">
        <v>88</v>
      </c>
      <c r="I40" s="42" t="s">
        <v>116</v>
      </c>
      <c r="J40" s="45">
        <v>29000000</v>
      </c>
    </row>
    <row r="41" spans="1:10" ht="36" x14ac:dyDescent="0.25">
      <c r="A41" s="38">
        <v>2</v>
      </c>
      <c r="B41" s="38">
        <v>0</v>
      </c>
      <c r="C41" s="38">
        <v>4</v>
      </c>
      <c r="D41" s="38">
        <v>5</v>
      </c>
      <c r="E41" s="38">
        <v>8</v>
      </c>
      <c r="F41" s="38" t="s">
        <v>147</v>
      </c>
      <c r="G41" s="25">
        <v>10</v>
      </c>
      <c r="H41" s="25" t="s">
        <v>88</v>
      </c>
      <c r="I41" s="42" t="s">
        <v>133</v>
      </c>
      <c r="J41" s="45">
        <v>189000000</v>
      </c>
    </row>
    <row r="42" spans="1:10" ht="36" x14ac:dyDescent="0.25">
      <c r="A42" s="38">
        <v>2</v>
      </c>
      <c r="B42" s="38">
        <v>0</v>
      </c>
      <c r="C42" s="38">
        <v>4</v>
      </c>
      <c r="D42" s="38">
        <v>5</v>
      </c>
      <c r="E42" s="38">
        <v>10</v>
      </c>
      <c r="F42" s="38" t="s">
        <v>147</v>
      </c>
      <c r="G42" s="25">
        <v>10</v>
      </c>
      <c r="H42" s="25" t="s">
        <v>88</v>
      </c>
      <c r="I42" s="42" t="s">
        <v>117</v>
      </c>
      <c r="J42" s="45">
        <v>197000000</v>
      </c>
    </row>
    <row r="43" spans="1:10" ht="36" x14ac:dyDescent="0.25">
      <c r="A43" s="38">
        <v>2</v>
      </c>
      <c r="B43" s="38">
        <v>0</v>
      </c>
      <c r="C43" s="38">
        <v>4</v>
      </c>
      <c r="D43" s="38">
        <v>5</v>
      </c>
      <c r="E43" s="38">
        <v>12</v>
      </c>
      <c r="F43" s="38" t="s">
        <v>147</v>
      </c>
      <c r="G43" s="25">
        <v>10</v>
      </c>
      <c r="H43" s="25" t="s">
        <v>88</v>
      </c>
      <c r="I43" s="42" t="s">
        <v>118</v>
      </c>
      <c r="J43" s="45">
        <v>2000000</v>
      </c>
    </row>
    <row r="44" spans="1:10" ht="20.25" x14ac:dyDescent="0.25">
      <c r="A44" s="32"/>
      <c r="B44" s="32"/>
      <c r="C44" s="32"/>
      <c r="D44" s="32"/>
      <c r="E44" s="32"/>
      <c r="F44" s="32"/>
      <c r="G44" s="33"/>
      <c r="H44" s="33"/>
      <c r="I44" s="35" t="s">
        <v>134</v>
      </c>
      <c r="J44" s="278">
        <f>SUM(J36:J43)</f>
        <v>694220000</v>
      </c>
    </row>
    <row r="45" spans="1:10" ht="20.25" x14ac:dyDescent="0.25">
      <c r="A45" s="800" t="s">
        <v>124</v>
      </c>
      <c r="B45" s="800"/>
      <c r="C45" s="800"/>
      <c r="D45" s="800"/>
      <c r="E45" s="800"/>
      <c r="F45" s="800"/>
      <c r="G45" s="800"/>
      <c r="H45" s="800"/>
      <c r="I45" s="800"/>
      <c r="J45" s="50"/>
    </row>
    <row r="46" spans="1:10" ht="36" x14ac:dyDescent="0.25">
      <c r="A46" s="38">
        <v>2</v>
      </c>
      <c r="B46" s="38">
        <v>0</v>
      </c>
      <c r="C46" s="38">
        <v>4</v>
      </c>
      <c r="D46" s="38">
        <v>6</v>
      </c>
      <c r="E46" s="38">
        <v>2</v>
      </c>
      <c r="F46" s="38" t="s">
        <v>147</v>
      </c>
      <c r="G46" s="25">
        <v>10</v>
      </c>
      <c r="H46" s="25" t="s">
        <v>88</v>
      </c>
      <c r="I46" s="36" t="s">
        <v>119</v>
      </c>
      <c r="J46" s="45">
        <v>113000000</v>
      </c>
    </row>
    <row r="47" spans="1:10" ht="36" x14ac:dyDescent="0.25">
      <c r="A47" s="38">
        <v>2</v>
      </c>
      <c r="B47" s="38">
        <v>0</v>
      </c>
      <c r="C47" s="38">
        <v>4</v>
      </c>
      <c r="D47" s="38">
        <v>6</v>
      </c>
      <c r="E47" s="38">
        <v>5</v>
      </c>
      <c r="F47" s="38" t="s">
        <v>147</v>
      </c>
      <c r="G47" s="25">
        <v>10</v>
      </c>
      <c r="H47" s="25" t="s">
        <v>88</v>
      </c>
      <c r="I47" s="42" t="s">
        <v>120</v>
      </c>
      <c r="J47" s="45">
        <v>980000000</v>
      </c>
    </row>
    <row r="48" spans="1:10" ht="36" x14ac:dyDescent="0.25">
      <c r="A48" s="38">
        <v>2</v>
      </c>
      <c r="B48" s="38">
        <v>0</v>
      </c>
      <c r="C48" s="38">
        <v>4</v>
      </c>
      <c r="D48" s="38">
        <v>6</v>
      </c>
      <c r="E48" s="38">
        <v>7</v>
      </c>
      <c r="F48" s="38" t="s">
        <v>147</v>
      </c>
      <c r="G48" s="25">
        <v>10</v>
      </c>
      <c r="H48" s="25" t="s">
        <v>88</v>
      </c>
      <c r="I48" s="42" t="s">
        <v>121</v>
      </c>
      <c r="J48" s="45">
        <v>5100000</v>
      </c>
    </row>
    <row r="49" spans="1:10" ht="36" x14ac:dyDescent="0.25">
      <c r="A49" s="38">
        <v>2</v>
      </c>
      <c r="B49" s="38">
        <v>0</v>
      </c>
      <c r="C49" s="38">
        <v>4</v>
      </c>
      <c r="D49" s="38">
        <v>6</v>
      </c>
      <c r="E49" s="38">
        <v>8</v>
      </c>
      <c r="F49" s="38" t="s">
        <v>147</v>
      </c>
      <c r="G49" s="25">
        <v>10</v>
      </c>
      <c r="H49" s="25" t="s">
        <v>88</v>
      </c>
      <c r="I49" s="42" t="s">
        <v>377</v>
      </c>
      <c r="J49" s="45">
        <v>5400000</v>
      </c>
    </row>
    <row r="50" spans="1:10" ht="28.5" x14ac:dyDescent="0.25">
      <c r="A50" s="32"/>
      <c r="B50" s="32"/>
      <c r="C50" s="32"/>
      <c r="D50" s="32"/>
      <c r="E50" s="32"/>
      <c r="F50" s="32"/>
      <c r="G50" s="33"/>
      <c r="H50" s="33"/>
      <c r="I50" s="35" t="s">
        <v>136</v>
      </c>
      <c r="J50" s="278">
        <f>SUM(J45:J49)</f>
        <v>1103500000</v>
      </c>
    </row>
    <row r="51" spans="1:10" ht="20.25" x14ac:dyDescent="0.25">
      <c r="A51" s="800" t="s">
        <v>122</v>
      </c>
      <c r="B51" s="800"/>
      <c r="C51" s="800"/>
      <c r="D51" s="800"/>
      <c r="E51" s="800"/>
      <c r="F51" s="800"/>
      <c r="G51" s="800"/>
      <c r="H51" s="800"/>
      <c r="I51" s="800" t="s">
        <v>122</v>
      </c>
      <c r="J51" s="50"/>
    </row>
    <row r="52" spans="1:10" ht="36" x14ac:dyDescent="0.25">
      <c r="A52" s="38">
        <v>2</v>
      </c>
      <c r="B52" s="38">
        <v>0</v>
      </c>
      <c r="C52" s="38">
        <v>4</v>
      </c>
      <c r="D52" s="38">
        <v>7</v>
      </c>
      <c r="E52" s="38">
        <v>1</v>
      </c>
      <c r="F52" s="38" t="s">
        <v>147</v>
      </c>
      <c r="G52" s="25">
        <v>9</v>
      </c>
      <c r="H52" s="25" t="s">
        <v>88</v>
      </c>
      <c r="I52" s="36" t="s">
        <v>150</v>
      </c>
      <c r="J52" s="45"/>
    </row>
    <row r="53" spans="1:10" ht="45" x14ac:dyDescent="0.25">
      <c r="A53" s="38">
        <v>2</v>
      </c>
      <c r="B53" s="38">
        <v>0</v>
      </c>
      <c r="C53" s="38">
        <v>4</v>
      </c>
      <c r="D53" s="38">
        <v>7</v>
      </c>
      <c r="E53" s="38">
        <v>3</v>
      </c>
      <c r="F53" s="38" t="s">
        <v>90</v>
      </c>
      <c r="G53" s="25">
        <v>10</v>
      </c>
      <c r="H53" s="25" t="s">
        <v>88</v>
      </c>
      <c r="I53" s="36" t="s">
        <v>149</v>
      </c>
      <c r="J53" s="45"/>
    </row>
    <row r="54" spans="1:10" ht="36" x14ac:dyDescent="0.25">
      <c r="A54" s="38">
        <v>2</v>
      </c>
      <c r="B54" s="38">
        <v>0</v>
      </c>
      <c r="C54" s="38">
        <v>4</v>
      </c>
      <c r="D54" s="38">
        <v>7</v>
      </c>
      <c r="E54" s="38">
        <v>5</v>
      </c>
      <c r="F54" s="38" t="s">
        <v>147</v>
      </c>
      <c r="G54" s="25">
        <v>10</v>
      </c>
      <c r="H54" s="25" t="s">
        <v>88</v>
      </c>
      <c r="I54" s="42" t="s">
        <v>123</v>
      </c>
      <c r="J54" s="45">
        <v>6000000</v>
      </c>
    </row>
    <row r="55" spans="1:10" ht="36" x14ac:dyDescent="0.25">
      <c r="A55" s="38">
        <v>2</v>
      </c>
      <c r="B55" s="38">
        <v>0</v>
      </c>
      <c r="C55" s="38">
        <v>4</v>
      </c>
      <c r="D55" s="38">
        <v>7</v>
      </c>
      <c r="E55" s="38">
        <v>6</v>
      </c>
      <c r="F55" s="38" t="s">
        <v>147</v>
      </c>
      <c r="G55" s="25">
        <v>10</v>
      </c>
      <c r="H55" s="25" t="s">
        <v>88</v>
      </c>
      <c r="I55" s="42" t="s">
        <v>212</v>
      </c>
      <c r="J55" s="45">
        <v>5500000</v>
      </c>
    </row>
    <row r="56" spans="1:10" ht="36" x14ac:dyDescent="0.25">
      <c r="A56" s="32"/>
      <c r="B56" s="32"/>
      <c r="C56" s="32"/>
      <c r="D56" s="32"/>
      <c r="E56" s="32"/>
      <c r="F56" s="32" t="s">
        <v>147</v>
      </c>
      <c r="G56" s="33"/>
      <c r="H56" s="33"/>
      <c r="I56" s="35" t="s">
        <v>152</v>
      </c>
      <c r="J56" s="278">
        <f>SUM(J52:J55)</f>
        <v>11500000</v>
      </c>
    </row>
    <row r="57" spans="1:10" ht="20.25" x14ac:dyDescent="0.25">
      <c r="A57" s="800" t="s">
        <v>378</v>
      </c>
      <c r="B57" s="800"/>
      <c r="C57" s="800"/>
      <c r="D57" s="800"/>
      <c r="E57" s="800"/>
      <c r="F57" s="800"/>
      <c r="G57" s="800"/>
      <c r="H57" s="800"/>
      <c r="I57" s="800"/>
      <c r="J57" s="45"/>
    </row>
    <row r="58" spans="1:10" ht="36" x14ac:dyDescent="0.25">
      <c r="A58" s="38">
        <v>2</v>
      </c>
      <c r="B58" s="38">
        <v>0</v>
      </c>
      <c r="C58" s="38">
        <v>4</v>
      </c>
      <c r="D58" s="38">
        <v>8</v>
      </c>
      <c r="E58" s="38">
        <v>1</v>
      </c>
      <c r="F58" s="38" t="s">
        <v>147</v>
      </c>
      <c r="G58" s="25">
        <v>10</v>
      </c>
      <c r="H58" s="25" t="s">
        <v>88</v>
      </c>
      <c r="I58" s="329" t="s">
        <v>383</v>
      </c>
      <c r="J58" s="45">
        <v>10000000</v>
      </c>
    </row>
    <row r="59" spans="1:10" ht="36" x14ac:dyDescent="0.25">
      <c r="A59" s="38">
        <v>2</v>
      </c>
      <c r="B59" s="38">
        <v>0</v>
      </c>
      <c r="C59" s="38">
        <v>4</v>
      </c>
      <c r="D59" s="38">
        <v>8</v>
      </c>
      <c r="E59" s="38">
        <v>2</v>
      </c>
      <c r="F59" s="38" t="s">
        <v>147</v>
      </c>
      <c r="G59" s="25">
        <v>10</v>
      </c>
      <c r="H59" s="25" t="s">
        <v>88</v>
      </c>
      <c r="I59" s="329" t="s">
        <v>384</v>
      </c>
      <c r="J59" s="45">
        <v>127000000</v>
      </c>
    </row>
    <row r="60" spans="1:10" ht="36" x14ac:dyDescent="0.25">
      <c r="A60" s="38">
        <v>2</v>
      </c>
      <c r="B60" s="38">
        <v>0</v>
      </c>
      <c r="C60" s="38">
        <v>4</v>
      </c>
      <c r="D60" s="38">
        <v>8</v>
      </c>
      <c r="E60" s="38">
        <v>5</v>
      </c>
      <c r="F60" s="38" t="s">
        <v>147</v>
      </c>
      <c r="G60" s="25">
        <v>10</v>
      </c>
      <c r="H60" s="25" t="s">
        <v>88</v>
      </c>
      <c r="I60" s="329" t="s">
        <v>385</v>
      </c>
      <c r="J60" s="45">
        <v>19000000</v>
      </c>
    </row>
    <row r="61" spans="1:10" ht="24" x14ac:dyDescent="0.25">
      <c r="A61" s="38">
        <v>2</v>
      </c>
      <c r="B61" s="38">
        <v>0</v>
      </c>
      <c r="C61" s="38">
        <v>4</v>
      </c>
      <c r="D61" s="38">
        <v>8</v>
      </c>
      <c r="E61" s="38">
        <v>6</v>
      </c>
      <c r="F61" s="38"/>
      <c r="G61" s="25">
        <v>10</v>
      </c>
      <c r="H61" s="25" t="s">
        <v>88</v>
      </c>
      <c r="I61" s="329" t="s">
        <v>386</v>
      </c>
      <c r="J61" s="45">
        <v>115000000</v>
      </c>
    </row>
    <row r="62" spans="1:10" ht="20.25" x14ac:dyDescent="0.25">
      <c r="A62" s="32"/>
      <c r="B62" s="32"/>
      <c r="C62" s="32"/>
      <c r="D62" s="32"/>
      <c r="E62" s="32"/>
      <c r="F62" s="32"/>
      <c r="G62" s="33"/>
      <c r="H62" s="33"/>
      <c r="I62" s="35" t="s">
        <v>387</v>
      </c>
      <c r="J62" s="278">
        <f>SUM(J58:J61)</f>
        <v>271000000</v>
      </c>
    </row>
    <row r="63" spans="1:10" ht="20.25" x14ac:dyDescent="0.25">
      <c r="A63" s="800" t="s">
        <v>388</v>
      </c>
      <c r="B63" s="800"/>
      <c r="C63" s="800"/>
      <c r="D63" s="800"/>
      <c r="E63" s="800"/>
      <c r="F63" s="800"/>
      <c r="G63" s="800"/>
      <c r="H63" s="800"/>
      <c r="I63" s="800"/>
      <c r="J63" s="50"/>
    </row>
    <row r="64" spans="1:10" ht="36" x14ac:dyDescent="0.25">
      <c r="A64" s="38">
        <v>2</v>
      </c>
      <c r="B64" s="38">
        <v>0</v>
      </c>
      <c r="C64" s="38">
        <v>4</v>
      </c>
      <c r="D64" s="38">
        <v>9</v>
      </c>
      <c r="E64" s="38">
        <v>4</v>
      </c>
      <c r="F64" s="38" t="s">
        <v>147</v>
      </c>
      <c r="G64" s="25">
        <v>10</v>
      </c>
      <c r="H64" s="25" t="s">
        <v>88</v>
      </c>
      <c r="I64" s="42" t="s">
        <v>389</v>
      </c>
      <c r="J64" s="45">
        <v>100000</v>
      </c>
    </row>
    <row r="65" spans="1:10" ht="36" x14ac:dyDescent="0.25">
      <c r="A65" s="38">
        <v>2</v>
      </c>
      <c r="B65" s="38">
        <v>0</v>
      </c>
      <c r="C65" s="38">
        <v>4</v>
      </c>
      <c r="D65" s="38">
        <v>9</v>
      </c>
      <c r="E65" s="38">
        <v>7</v>
      </c>
      <c r="F65" s="38" t="s">
        <v>147</v>
      </c>
      <c r="G65" s="25">
        <v>10</v>
      </c>
      <c r="H65" s="25" t="s">
        <v>88</v>
      </c>
      <c r="I65" s="42" t="s">
        <v>390</v>
      </c>
      <c r="J65" s="45">
        <v>100000</v>
      </c>
    </row>
    <row r="66" spans="1:10" ht="36" x14ac:dyDescent="0.25">
      <c r="A66" s="38">
        <v>2</v>
      </c>
      <c r="B66" s="38">
        <v>0</v>
      </c>
      <c r="C66" s="38">
        <v>4</v>
      </c>
      <c r="D66" s="38">
        <v>9</v>
      </c>
      <c r="E66" s="38">
        <v>8</v>
      </c>
      <c r="F66" s="38" t="s">
        <v>147</v>
      </c>
      <c r="G66" s="25">
        <v>10</v>
      </c>
      <c r="H66" s="25" t="s">
        <v>88</v>
      </c>
      <c r="I66" s="42" t="s">
        <v>391</v>
      </c>
      <c r="J66" s="45">
        <v>14000000</v>
      </c>
    </row>
    <row r="67" spans="1:10" ht="36" x14ac:dyDescent="0.25">
      <c r="A67" s="38">
        <v>2</v>
      </c>
      <c r="B67" s="38">
        <v>0</v>
      </c>
      <c r="C67" s="38">
        <v>4</v>
      </c>
      <c r="D67" s="38">
        <v>9</v>
      </c>
      <c r="E67" s="38">
        <v>9</v>
      </c>
      <c r="F67" s="38" t="s">
        <v>147</v>
      </c>
      <c r="G67" s="25">
        <v>10</v>
      </c>
      <c r="H67" s="25" t="s">
        <v>88</v>
      </c>
      <c r="I67" s="42" t="s">
        <v>392</v>
      </c>
      <c r="J67" s="45">
        <v>100000</v>
      </c>
    </row>
    <row r="68" spans="1:10" ht="36" x14ac:dyDescent="0.25">
      <c r="A68" s="38">
        <v>2</v>
      </c>
      <c r="B68" s="38">
        <v>0</v>
      </c>
      <c r="C68" s="38">
        <v>4</v>
      </c>
      <c r="D68" s="38">
        <v>9</v>
      </c>
      <c r="E68" s="38">
        <v>13</v>
      </c>
      <c r="F68" s="38" t="s">
        <v>147</v>
      </c>
      <c r="G68" s="25">
        <v>10</v>
      </c>
      <c r="H68" s="25" t="s">
        <v>88</v>
      </c>
      <c r="I68" s="42" t="s">
        <v>393</v>
      </c>
      <c r="J68" s="45">
        <v>100000</v>
      </c>
    </row>
    <row r="69" spans="1:10" ht="20.25" x14ac:dyDescent="0.25">
      <c r="A69" s="32"/>
      <c r="B69" s="32"/>
      <c r="C69" s="32"/>
      <c r="D69" s="32"/>
      <c r="E69" s="32"/>
      <c r="F69" s="32"/>
      <c r="G69" s="33"/>
      <c r="H69" s="33"/>
      <c r="I69" s="35" t="s">
        <v>394</v>
      </c>
      <c r="J69" s="278">
        <f t="shared" ref="J69" si="4">SUM(J64:J68)</f>
        <v>14400000</v>
      </c>
    </row>
    <row r="70" spans="1:10" ht="20.25" x14ac:dyDescent="0.25">
      <c r="A70" s="797" t="s">
        <v>396</v>
      </c>
      <c r="B70" s="798"/>
      <c r="C70" s="798"/>
      <c r="D70" s="798"/>
      <c r="E70" s="798"/>
      <c r="F70" s="798"/>
      <c r="G70" s="798"/>
      <c r="H70" s="798"/>
      <c r="I70" s="801"/>
      <c r="J70" s="50"/>
    </row>
    <row r="71" spans="1:10" ht="30" x14ac:dyDescent="0.25">
      <c r="A71" s="38"/>
      <c r="B71" s="38"/>
      <c r="C71" s="38"/>
      <c r="D71" s="38"/>
      <c r="E71" s="38"/>
      <c r="F71" s="38"/>
      <c r="G71" s="25"/>
      <c r="H71" s="25"/>
      <c r="I71" s="36" t="s">
        <v>397</v>
      </c>
      <c r="J71" s="45"/>
    </row>
    <row r="72" spans="1:10" ht="36" x14ac:dyDescent="0.25">
      <c r="A72" s="38">
        <v>2</v>
      </c>
      <c r="B72" s="38">
        <v>0</v>
      </c>
      <c r="C72" s="38">
        <v>4</v>
      </c>
      <c r="D72" s="38">
        <v>10</v>
      </c>
      <c r="E72" s="38">
        <v>2</v>
      </c>
      <c r="F72" s="38" t="s">
        <v>147</v>
      </c>
      <c r="G72" s="25">
        <v>10</v>
      </c>
      <c r="H72" s="25" t="s">
        <v>88</v>
      </c>
      <c r="I72" s="36" t="s">
        <v>398</v>
      </c>
      <c r="J72" s="45">
        <v>6778000</v>
      </c>
    </row>
    <row r="73" spans="1:10" ht="20.25" x14ac:dyDescent="0.25">
      <c r="A73" s="32"/>
      <c r="B73" s="32"/>
      <c r="C73" s="32"/>
      <c r="D73" s="32"/>
      <c r="E73" s="32"/>
      <c r="F73" s="32"/>
      <c r="G73" s="33"/>
      <c r="H73" s="33"/>
      <c r="I73" s="35" t="s">
        <v>399</v>
      </c>
      <c r="J73" s="278">
        <f>SUM(J72)</f>
        <v>6778000</v>
      </c>
    </row>
    <row r="74" spans="1:10" ht="20.25" x14ac:dyDescent="0.25">
      <c r="A74" s="797" t="s">
        <v>125</v>
      </c>
      <c r="B74" s="798"/>
      <c r="C74" s="798"/>
      <c r="D74" s="798"/>
      <c r="E74" s="798"/>
      <c r="F74" s="798"/>
      <c r="G74" s="798"/>
      <c r="H74" s="798"/>
      <c r="I74" s="798"/>
      <c r="J74" s="50"/>
    </row>
    <row r="75" spans="1:10" ht="36" x14ac:dyDescent="0.25">
      <c r="A75" s="38">
        <v>2</v>
      </c>
      <c r="B75" s="38">
        <v>0</v>
      </c>
      <c r="C75" s="38">
        <v>4</v>
      </c>
      <c r="D75" s="38">
        <v>11</v>
      </c>
      <c r="E75" s="38">
        <v>1</v>
      </c>
      <c r="F75" s="38" t="s">
        <v>147</v>
      </c>
      <c r="G75" s="25">
        <v>10</v>
      </c>
      <c r="H75" s="25" t="s">
        <v>88</v>
      </c>
      <c r="I75" s="42" t="s">
        <v>400</v>
      </c>
      <c r="J75" s="45"/>
    </row>
    <row r="76" spans="1:10" ht="36" x14ac:dyDescent="0.25">
      <c r="A76" s="38">
        <v>2</v>
      </c>
      <c r="B76" s="38">
        <v>0</v>
      </c>
      <c r="C76" s="38">
        <v>4</v>
      </c>
      <c r="D76" s="38">
        <v>11</v>
      </c>
      <c r="E76" s="38">
        <v>1</v>
      </c>
      <c r="F76" s="38" t="s">
        <v>147</v>
      </c>
      <c r="G76" s="25">
        <v>10</v>
      </c>
      <c r="H76" s="25" t="s">
        <v>88</v>
      </c>
      <c r="I76" s="36" t="s">
        <v>401</v>
      </c>
      <c r="J76" s="45">
        <v>0</v>
      </c>
    </row>
    <row r="77" spans="1:10" ht="36" x14ac:dyDescent="0.25">
      <c r="A77" s="38">
        <v>2</v>
      </c>
      <c r="B77" s="38">
        <v>0</v>
      </c>
      <c r="C77" s="38">
        <v>4</v>
      </c>
      <c r="D77" s="38">
        <v>11</v>
      </c>
      <c r="E77" s="38">
        <v>2</v>
      </c>
      <c r="F77" s="38" t="s">
        <v>147</v>
      </c>
      <c r="G77" s="25">
        <v>10</v>
      </c>
      <c r="H77" s="25" t="s">
        <v>88</v>
      </c>
      <c r="I77" s="42" t="s">
        <v>402</v>
      </c>
      <c r="J77" s="45">
        <v>35000000</v>
      </c>
    </row>
    <row r="78" spans="1:10" ht="36" x14ac:dyDescent="0.25">
      <c r="A78" s="38">
        <v>2</v>
      </c>
      <c r="B78" s="38">
        <v>0</v>
      </c>
      <c r="C78" s="38">
        <v>4</v>
      </c>
      <c r="D78" s="38">
        <v>11</v>
      </c>
      <c r="E78" s="38">
        <v>2</v>
      </c>
      <c r="F78" s="38" t="s">
        <v>147</v>
      </c>
      <c r="G78" s="25">
        <v>10</v>
      </c>
      <c r="H78" s="25" t="s">
        <v>88</v>
      </c>
      <c r="I78" s="36" t="s">
        <v>115</v>
      </c>
      <c r="J78" s="46">
        <v>20000000</v>
      </c>
    </row>
    <row r="79" spans="1:10" ht="20.25" x14ac:dyDescent="0.25">
      <c r="A79" s="32"/>
      <c r="B79" s="32"/>
      <c r="C79" s="32"/>
      <c r="D79" s="32"/>
      <c r="E79" s="32"/>
      <c r="F79" s="32"/>
      <c r="G79" s="33"/>
      <c r="H79" s="33"/>
      <c r="I79" s="35" t="s">
        <v>137</v>
      </c>
      <c r="J79" s="278">
        <f t="shared" ref="J79" si="5">SUM(J75:J78)</f>
        <v>55000000</v>
      </c>
    </row>
    <row r="80" spans="1:10" ht="20.25" x14ac:dyDescent="0.25">
      <c r="A80" s="797" t="s">
        <v>403</v>
      </c>
      <c r="B80" s="798"/>
      <c r="C80" s="798"/>
      <c r="D80" s="798"/>
      <c r="E80" s="798"/>
      <c r="F80" s="798"/>
      <c r="G80" s="798"/>
      <c r="H80" s="798"/>
      <c r="I80" s="798"/>
      <c r="J80" s="50"/>
    </row>
    <row r="81" spans="1:10" ht="36" x14ac:dyDescent="0.25">
      <c r="A81" s="38">
        <v>2</v>
      </c>
      <c r="B81" s="38">
        <v>0</v>
      </c>
      <c r="C81" s="38">
        <v>4</v>
      </c>
      <c r="D81" s="38">
        <v>21</v>
      </c>
      <c r="E81" s="38">
        <v>4</v>
      </c>
      <c r="F81" s="38" t="s">
        <v>147</v>
      </c>
      <c r="G81" s="25">
        <v>10</v>
      </c>
      <c r="H81" s="25" t="s">
        <v>88</v>
      </c>
      <c r="I81" s="42" t="s">
        <v>404</v>
      </c>
      <c r="J81" s="45">
        <v>30075000</v>
      </c>
    </row>
    <row r="82" spans="1:10" ht="36" x14ac:dyDescent="0.25">
      <c r="A82" s="38">
        <v>2</v>
      </c>
      <c r="B82" s="38">
        <v>0</v>
      </c>
      <c r="C82" s="38">
        <v>4</v>
      </c>
      <c r="D82" s="38">
        <v>21</v>
      </c>
      <c r="E82" s="38">
        <v>5</v>
      </c>
      <c r="F82" s="38" t="s">
        <v>147</v>
      </c>
      <c r="G82" s="25">
        <v>10</v>
      </c>
      <c r="H82" s="25" t="s">
        <v>88</v>
      </c>
      <c r="I82" s="42" t="s">
        <v>153</v>
      </c>
      <c r="J82" s="45"/>
    </row>
    <row r="83" spans="1:10" ht="36" x14ac:dyDescent="0.25">
      <c r="A83" s="38">
        <v>2</v>
      </c>
      <c r="B83" s="38">
        <v>0</v>
      </c>
      <c r="C83" s="38">
        <v>4</v>
      </c>
      <c r="D83" s="38">
        <v>21</v>
      </c>
      <c r="E83" s="38">
        <v>8</v>
      </c>
      <c r="F83" s="38" t="s">
        <v>147</v>
      </c>
      <c r="G83" s="25">
        <v>10</v>
      </c>
      <c r="H83" s="25" t="s">
        <v>88</v>
      </c>
      <c r="I83" s="42" t="s">
        <v>126</v>
      </c>
      <c r="J83" s="45">
        <v>17000000</v>
      </c>
    </row>
    <row r="84" spans="1:10" ht="28.5" x14ac:dyDescent="0.25">
      <c r="A84" s="32"/>
      <c r="B84" s="32"/>
      <c r="C84" s="32"/>
      <c r="D84" s="32"/>
      <c r="E84" s="32"/>
      <c r="F84" s="32"/>
      <c r="G84" s="33"/>
      <c r="H84" s="33"/>
      <c r="I84" s="35" t="s">
        <v>405</v>
      </c>
      <c r="J84" s="278">
        <f t="shared" ref="J84" si="6">SUM(J81:J83)</f>
        <v>47075000</v>
      </c>
    </row>
    <row r="85" spans="1:10" ht="20.25" x14ac:dyDescent="0.25">
      <c r="A85" s="797" t="s">
        <v>406</v>
      </c>
      <c r="B85" s="798"/>
      <c r="C85" s="798"/>
      <c r="D85" s="798"/>
      <c r="E85" s="798"/>
      <c r="F85" s="798"/>
      <c r="G85" s="798"/>
      <c r="H85" s="798"/>
      <c r="I85" s="801"/>
      <c r="J85" s="45"/>
    </row>
    <row r="86" spans="1:10" ht="30" x14ac:dyDescent="0.25">
      <c r="A86" s="26">
        <v>2</v>
      </c>
      <c r="B86" s="26">
        <v>0</v>
      </c>
      <c r="C86" s="26">
        <v>4</v>
      </c>
      <c r="D86" s="26">
        <v>41</v>
      </c>
      <c r="E86" s="26">
        <v>13</v>
      </c>
      <c r="F86" s="26"/>
      <c r="G86" s="26">
        <v>10</v>
      </c>
      <c r="H86" s="26" t="s">
        <v>88</v>
      </c>
      <c r="I86" s="36" t="s">
        <v>406</v>
      </c>
      <c r="J86" s="45">
        <v>1400000</v>
      </c>
    </row>
    <row r="87" spans="1:10" ht="28.5" x14ac:dyDescent="0.25">
      <c r="A87" s="32"/>
      <c r="B87" s="32"/>
      <c r="C87" s="32"/>
      <c r="D87" s="32"/>
      <c r="E87" s="32"/>
      <c r="F87" s="32"/>
      <c r="G87" s="33"/>
      <c r="H87" s="33"/>
      <c r="I87" s="35" t="s">
        <v>407</v>
      </c>
      <c r="J87" s="368">
        <f>SUM(J86)</f>
        <v>1400000</v>
      </c>
    </row>
    <row r="88" spans="1:10" x14ac:dyDescent="0.25">
      <c r="A88" s="26"/>
      <c r="B88" s="26"/>
      <c r="C88" s="26"/>
      <c r="D88" s="26"/>
      <c r="E88" s="26"/>
      <c r="F88" s="26"/>
      <c r="G88" s="26"/>
      <c r="H88" s="26"/>
      <c r="I88" s="36" t="s">
        <v>408</v>
      </c>
      <c r="J88" s="374">
        <f>SUM(J21+J24+J35+J44+J50+J56+J62+J69+J73+J79+J84+J85+J87)</f>
        <v>2601173403</v>
      </c>
    </row>
    <row r="89" spans="1:10" ht="30" x14ac:dyDescent="0.25">
      <c r="A89" s="26"/>
      <c r="B89" s="26"/>
      <c r="C89" s="26"/>
      <c r="D89" s="26"/>
      <c r="E89" s="26"/>
      <c r="F89" s="26"/>
      <c r="G89" s="26"/>
      <c r="H89" s="26"/>
      <c r="I89" s="36" t="s">
        <v>409</v>
      </c>
      <c r="J89" s="374">
        <f>SUM(J7)</f>
        <v>124423893</v>
      </c>
    </row>
    <row r="90" spans="1:10" x14ac:dyDescent="0.25">
      <c r="A90" s="26"/>
      <c r="B90" s="26"/>
      <c r="C90" s="26"/>
      <c r="D90" s="26"/>
      <c r="E90" s="26"/>
      <c r="F90" s="26"/>
      <c r="G90" s="26"/>
      <c r="H90" s="26"/>
      <c r="I90" s="36" t="s">
        <v>410</v>
      </c>
      <c r="J90" s="374">
        <f t="shared" ref="J90" si="7">SUM(J12)</f>
        <v>29870000</v>
      </c>
    </row>
    <row r="91" spans="1:10" x14ac:dyDescent="0.25">
      <c r="A91" s="26"/>
      <c r="B91" s="26"/>
      <c r="C91" s="26"/>
      <c r="D91" s="26"/>
      <c r="E91" s="26"/>
      <c r="F91" s="26"/>
      <c r="G91" s="26"/>
      <c r="H91" s="26"/>
      <c r="I91" s="36" t="s">
        <v>411</v>
      </c>
      <c r="J91" s="374">
        <f>SUM(J88:J90)</f>
        <v>2755467296</v>
      </c>
    </row>
  </sheetData>
  <mergeCells count="12">
    <mergeCell ref="A85:I85"/>
    <mergeCell ref="A45:I45"/>
    <mergeCell ref="A51:I51"/>
    <mergeCell ref="A57:I57"/>
    <mergeCell ref="A63:I63"/>
    <mergeCell ref="A70:I70"/>
    <mergeCell ref="A74:I74"/>
    <mergeCell ref="A16:I16"/>
    <mergeCell ref="A25:I25"/>
    <mergeCell ref="A36:I36"/>
    <mergeCell ref="A3:J3"/>
    <mergeCell ref="A80:I8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M194"/>
  <sheetViews>
    <sheetView topLeftCell="A16" zoomScale="46" zoomScaleNormal="46" workbookViewId="0">
      <pane xSplit="1" ySplit="4" topLeftCell="B139" activePane="bottomRight" state="frozen"/>
      <selection activeCell="A16" sqref="A16"/>
      <selection pane="topRight" activeCell="B16" sqref="B16"/>
      <selection pane="bottomLeft" activeCell="A20" sqref="A20"/>
      <selection pane="bottomRight" activeCell="D208" sqref="D208"/>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15.42578125" customWidth="1"/>
    <col min="7" max="7" width="29.85546875" customWidth="1"/>
    <col min="8" max="8" width="27" customWidth="1"/>
    <col min="9" max="9" width="39.85546875" customWidth="1"/>
    <col min="10" max="10" width="39.140625" customWidth="1"/>
    <col min="11" max="11" width="72.5703125" customWidth="1"/>
    <col min="12" max="12" width="51.140625" customWidth="1"/>
    <col min="13" max="13" width="48.42578125" customWidth="1"/>
    <col min="14" max="14" width="17.42578125" customWidth="1"/>
    <col min="15" max="15" width="27" customWidth="1"/>
    <col min="16" max="16" width="53.5703125" customWidth="1"/>
    <col min="17" max="17" width="5.7109375" customWidth="1"/>
    <col min="18" max="18" width="23.42578125" style="606" customWidth="1"/>
    <col min="19" max="19" width="20" customWidth="1"/>
    <col min="20" max="20" width="39.28515625" customWidth="1"/>
    <col min="21" max="21" width="20.5703125" customWidth="1"/>
    <col min="22" max="23" width="20.140625" customWidth="1"/>
    <col min="24" max="24" width="52.140625" customWidth="1"/>
    <col min="25" max="25" width="41.7109375" customWidth="1"/>
    <col min="26" max="26" width="50.85546875" customWidth="1"/>
    <col min="27" max="27" width="65.42578125" customWidth="1"/>
    <col min="28" max="28" width="94.85546875" customWidth="1"/>
    <col min="29" max="34" width="0" hidden="1" customWidth="1"/>
    <col min="35" max="35" width="43.42578125" customWidth="1"/>
    <col min="36" max="36" width="24.5703125" customWidth="1"/>
    <col min="37" max="37" width="25.42578125" customWidth="1"/>
    <col min="38" max="38" width="24" customWidth="1"/>
    <col min="39" max="39" width="90.85546875" customWidth="1"/>
  </cols>
  <sheetData>
    <row r="1" spans="1:39" ht="26.1" x14ac:dyDescent="0.6">
      <c r="A1" s="91"/>
      <c r="B1" s="53"/>
      <c r="C1" s="2"/>
      <c r="D1" s="17"/>
      <c r="E1" s="2"/>
      <c r="F1" s="2"/>
      <c r="G1" s="2"/>
      <c r="H1" s="2"/>
      <c r="I1" s="2"/>
      <c r="J1" s="76"/>
      <c r="K1" s="2"/>
      <c r="L1" s="72"/>
      <c r="M1" s="8"/>
      <c r="N1" s="2"/>
      <c r="O1" s="2"/>
      <c r="P1" s="2"/>
      <c r="Q1" s="100"/>
      <c r="R1" s="601"/>
      <c r="S1" s="3"/>
      <c r="T1" s="90"/>
      <c r="U1" s="4"/>
      <c r="V1" s="3"/>
      <c r="W1" s="3"/>
      <c r="X1" s="3"/>
      <c r="Y1" s="54"/>
      <c r="Z1" s="3"/>
      <c r="AA1" s="51"/>
      <c r="AB1" s="3"/>
      <c r="AC1" s="3"/>
      <c r="AD1" s="3"/>
      <c r="AE1" s="3"/>
      <c r="AF1" s="3"/>
      <c r="AG1" s="3"/>
      <c r="AH1" s="3"/>
      <c r="AI1" s="3"/>
      <c r="AJ1" s="3"/>
      <c r="AK1" s="3"/>
      <c r="AL1" s="3"/>
      <c r="AM1" s="18"/>
    </row>
    <row r="2" spans="1:39" ht="26.1" x14ac:dyDescent="0.6">
      <c r="A2" s="92"/>
      <c r="B2" s="829" t="s">
        <v>435</v>
      </c>
      <c r="C2" s="829"/>
      <c r="D2" s="829"/>
      <c r="E2" s="829"/>
      <c r="F2" s="829"/>
      <c r="G2" s="829"/>
      <c r="H2" s="829"/>
      <c r="I2" s="829"/>
      <c r="J2" s="829"/>
      <c r="K2" s="829"/>
      <c r="L2" s="829"/>
      <c r="M2" s="829"/>
      <c r="N2" s="829"/>
      <c r="O2" s="829"/>
      <c r="P2" s="829"/>
      <c r="Q2" s="101"/>
      <c r="R2" s="602"/>
      <c r="S2" s="3"/>
      <c r="T2" s="90"/>
      <c r="U2" s="4"/>
      <c r="V2" s="3"/>
      <c r="W2" s="3"/>
      <c r="X2" s="3"/>
      <c r="Y2" s="54"/>
      <c r="Z2" s="3"/>
      <c r="AA2" s="51"/>
      <c r="AB2" s="3"/>
      <c r="AC2" s="3"/>
      <c r="AD2" s="3"/>
      <c r="AE2" s="3"/>
      <c r="AF2" s="3"/>
      <c r="AG2" s="3"/>
      <c r="AH2" s="3"/>
      <c r="AI2" s="3"/>
      <c r="AJ2" s="3"/>
      <c r="AK2" s="3"/>
      <c r="AL2" s="3"/>
      <c r="AM2" s="18"/>
    </row>
    <row r="3" spans="1:39" ht="26.1" x14ac:dyDescent="0.6">
      <c r="A3" s="91"/>
      <c r="B3" s="53"/>
      <c r="C3" s="40"/>
      <c r="D3" s="19"/>
      <c r="E3" s="2"/>
      <c r="F3" s="2"/>
      <c r="G3" s="2"/>
      <c r="H3" s="2"/>
      <c r="I3" s="2"/>
      <c r="J3" s="76"/>
      <c r="K3" s="2"/>
      <c r="L3" s="72"/>
      <c r="M3" s="8"/>
      <c r="N3" s="2"/>
      <c r="O3" s="2"/>
      <c r="P3" s="2"/>
      <c r="Q3" s="100"/>
      <c r="R3" s="601"/>
      <c r="S3" s="3"/>
      <c r="T3" s="90"/>
      <c r="U3" s="4"/>
      <c r="V3" s="3"/>
      <c r="W3" s="3"/>
      <c r="X3" s="3"/>
      <c r="Y3" s="54"/>
      <c r="Z3" s="3"/>
      <c r="AA3" s="51"/>
      <c r="AB3" s="3"/>
      <c r="AC3" s="3"/>
      <c r="AD3" s="3"/>
      <c r="AE3" s="3"/>
      <c r="AF3" s="3"/>
      <c r="AG3" s="3"/>
      <c r="AH3" s="3"/>
      <c r="AI3" s="3"/>
      <c r="AJ3" s="3"/>
      <c r="AK3" s="3"/>
      <c r="AL3" s="3"/>
      <c r="AM3" s="18"/>
    </row>
    <row r="4" spans="1:39" ht="26.25" x14ac:dyDescent="0.4">
      <c r="A4" s="91"/>
      <c r="B4" s="53"/>
      <c r="C4" s="830" t="s">
        <v>0</v>
      </c>
      <c r="D4" s="830"/>
      <c r="E4" s="2"/>
      <c r="F4" s="2"/>
      <c r="G4" s="2"/>
      <c r="H4" s="2"/>
      <c r="I4" s="2"/>
      <c r="J4" s="76"/>
      <c r="K4" s="2"/>
      <c r="L4" s="72"/>
      <c r="M4" s="8"/>
      <c r="N4" s="2"/>
      <c r="O4" s="2"/>
      <c r="P4" s="2"/>
      <c r="Q4" s="100"/>
      <c r="R4" s="601"/>
      <c r="S4" s="3"/>
      <c r="T4" s="90"/>
      <c r="U4" s="4"/>
      <c r="V4" s="3"/>
      <c r="W4" s="3"/>
      <c r="X4" s="3"/>
      <c r="Y4" s="54"/>
      <c r="Z4" s="3"/>
      <c r="AA4" s="51"/>
      <c r="AB4" s="3"/>
      <c r="AC4" s="3"/>
      <c r="AD4" s="3"/>
      <c r="AE4" s="3"/>
      <c r="AF4" s="3"/>
      <c r="AG4" s="3"/>
      <c r="AH4" s="3"/>
      <c r="AI4" s="3"/>
      <c r="AJ4" s="3"/>
      <c r="AK4" s="3"/>
      <c r="AL4" s="3"/>
      <c r="AM4" s="18"/>
    </row>
    <row r="5" spans="1:39" ht="26.25" x14ac:dyDescent="0.4">
      <c r="A5" s="93"/>
      <c r="B5" s="81"/>
      <c r="C5" s="78" t="s">
        <v>1</v>
      </c>
      <c r="D5" s="831" t="s">
        <v>2</v>
      </c>
      <c r="E5" s="831"/>
      <c r="F5" s="2"/>
      <c r="G5" s="5"/>
      <c r="H5" s="5"/>
      <c r="I5" s="832" t="s">
        <v>276</v>
      </c>
      <c r="J5" s="832"/>
      <c r="K5" s="832"/>
      <c r="L5" s="832"/>
      <c r="M5" s="832"/>
      <c r="N5" s="5"/>
      <c r="O5" s="5"/>
      <c r="P5" s="5"/>
      <c r="Q5" s="102"/>
      <c r="R5" s="603"/>
      <c r="S5" s="3"/>
      <c r="T5" s="90"/>
      <c r="U5" s="4"/>
      <c r="V5" s="3"/>
      <c r="W5" s="3"/>
      <c r="X5" s="3"/>
      <c r="Y5" s="54"/>
      <c r="Z5" s="3"/>
      <c r="AA5" s="51"/>
      <c r="AB5" s="3"/>
      <c r="AC5" s="3"/>
      <c r="AD5" s="3"/>
      <c r="AE5" s="3"/>
      <c r="AF5" s="3"/>
      <c r="AG5" s="3"/>
      <c r="AH5" s="3"/>
      <c r="AI5" s="3"/>
      <c r="AJ5" s="3"/>
      <c r="AK5" s="3"/>
      <c r="AL5" s="3"/>
      <c r="AM5" s="18"/>
    </row>
    <row r="6" spans="1:39" ht="26.25" x14ac:dyDescent="0.4">
      <c r="A6" s="93"/>
      <c r="B6" s="81"/>
      <c r="C6" s="43" t="s">
        <v>3</v>
      </c>
      <c r="D6" s="831" t="s">
        <v>4</v>
      </c>
      <c r="E6" s="831"/>
      <c r="F6" s="2"/>
      <c r="G6" s="5"/>
      <c r="H6" s="5"/>
      <c r="I6" s="832"/>
      <c r="J6" s="832"/>
      <c r="K6" s="832"/>
      <c r="L6" s="832"/>
      <c r="M6" s="832"/>
      <c r="N6" s="5"/>
      <c r="O6" s="5"/>
      <c r="P6" s="5"/>
      <c r="Q6" s="102"/>
      <c r="R6" s="603"/>
      <c r="S6" s="3"/>
      <c r="T6" s="90"/>
      <c r="U6" s="4"/>
      <c r="V6" s="3"/>
      <c r="W6" s="3"/>
      <c r="X6" s="3"/>
      <c r="Y6" s="54"/>
      <c r="Z6" s="3"/>
      <c r="AA6" s="51"/>
      <c r="AB6" s="3"/>
      <c r="AC6" s="3"/>
      <c r="AD6" s="3"/>
      <c r="AE6" s="3"/>
      <c r="AF6" s="3"/>
      <c r="AG6" s="3"/>
      <c r="AH6" s="3"/>
      <c r="AI6" s="3"/>
      <c r="AJ6" s="3"/>
      <c r="AK6" s="3"/>
      <c r="AL6" s="3"/>
      <c r="AM6" s="18"/>
    </row>
    <row r="7" spans="1:39" ht="26.25" x14ac:dyDescent="0.4">
      <c r="A7" s="93"/>
      <c r="B7" s="81"/>
      <c r="C7" s="43" t="s">
        <v>5</v>
      </c>
      <c r="D7" s="833">
        <v>7395656</v>
      </c>
      <c r="E7" s="833"/>
      <c r="F7" s="11"/>
      <c r="G7" s="5"/>
      <c r="H7" s="5"/>
      <c r="I7" s="832"/>
      <c r="J7" s="832"/>
      <c r="K7" s="832"/>
      <c r="L7" s="832"/>
      <c r="M7" s="832"/>
      <c r="N7" s="5"/>
      <c r="O7" s="5"/>
      <c r="P7" s="5"/>
      <c r="Q7" s="102"/>
      <c r="R7" s="603"/>
      <c r="S7" s="3"/>
      <c r="T7" s="90"/>
      <c r="U7" s="4" t="s">
        <v>148</v>
      </c>
      <c r="V7" s="3"/>
      <c r="W7" s="3"/>
      <c r="X7" s="3"/>
      <c r="Y7" s="54"/>
      <c r="Z7" s="3"/>
      <c r="AA7" s="51"/>
      <c r="AB7" s="3"/>
      <c r="AC7" s="3"/>
      <c r="AD7" s="3"/>
      <c r="AE7" s="3"/>
      <c r="AF7" s="3"/>
      <c r="AG7" s="3"/>
      <c r="AH7" s="3"/>
      <c r="AI7" s="3"/>
      <c r="AJ7" s="3"/>
      <c r="AK7" s="3"/>
      <c r="AL7" s="3"/>
      <c r="AM7" s="18"/>
    </row>
    <row r="8" spans="1:39" ht="39" customHeight="1" x14ac:dyDescent="0.4">
      <c r="A8" s="93"/>
      <c r="B8" s="81"/>
      <c r="C8" s="43" t="s">
        <v>6</v>
      </c>
      <c r="D8" s="834" t="s">
        <v>47</v>
      </c>
      <c r="E8" s="834"/>
      <c r="F8" s="12"/>
      <c r="G8" s="5"/>
      <c r="H8" s="5"/>
      <c r="I8" s="832"/>
      <c r="J8" s="832"/>
      <c r="K8" s="832"/>
      <c r="L8" s="832"/>
      <c r="M8" s="832"/>
      <c r="N8" s="5"/>
      <c r="O8" s="5"/>
      <c r="P8" s="5"/>
      <c r="Q8" s="102"/>
      <c r="R8" s="603"/>
      <c r="S8" s="3"/>
      <c r="T8" s="90"/>
      <c r="U8" s="4"/>
      <c r="V8" s="3"/>
      <c r="W8" s="3"/>
      <c r="X8" s="3"/>
      <c r="Y8" s="54"/>
      <c r="Z8" s="3"/>
      <c r="AA8" s="51"/>
      <c r="AB8" s="3"/>
      <c r="AC8" s="3"/>
      <c r="AD8" s="3"/>
      <c r="AE8" s="3"/>
      <c r="AF8" s="3"/>
      <c r="AG8" s="3"/>
      <c r="AH8" s="3"/>
      <c r="AI8" s="3"/>
      <c r="AJ8" s="3"/>
      <c r="AK8" s="3"/>
      <c r="AL8" s="3"/>
      <c r="AM8" s="18"/>
    </row>
    <row r="9" spans="1:39" ht="78" customHeight="1" x14ac:dyDescent="0.4">
      <c r="A9" s="93"/>
      <c r="B9" s="81"/>
      <c r="C9" s="43" t="s">
        <v>7</v>
      </c>
      <c r="D9" s="831" t="s">
        <v>436</v>
      </c>
      <c r="E9" s="831"/>
      <c r="F9" s="2"/>
      <c r="G9" s="5"/>
      <c r="H9" s="5"/>
      <c r="I9" s="832"/>
      <c r="J9" s="832"/>
      <c r="K9" s="832"/>
      <c r="L9" s="832"/>
      <c r="M9" s="832"/>
      <c r="N9" s="5"/>
      <c r="O9" s="5"/>
      <c r="P9" s="5"/>
      <c r="Q9" s="102"/>
      <c r="R9" s="603"/>
      <c r="S9" s="3"/>
      <c r="T9" s="90"/>
      <c r="U9" s="4"/>
      <c r="V9" s="3"/>
      <c r="W9" s="3"/>
      <c r="X9" s="3"/>
      <c r="Y9" s="54"/>
      <c r="Z9" s="3"/>
      <c r="AA9" s="51"/>
      <c r="AB9" s="3"/>
      <c r="AC9" s="3"/>
      <c r="AD9" s="3"/>
      <c r="AE9" s="3"/>
      <c r="AF9" s="3"/>
      <c r="AG9" s="3"/>
      <c r="AH9" s="3"/>
      <c r="AI9" s="3"/>
      <c r="AJ9" s="3"/>
      <c r="AK9" s="3"/>
      <c r="AL9" s="3"/>
      <c r="AM9" s="18"/>
    </row>
    <row r="10" spans="1:39" ht="84.6" customHeight="1" x14ac:dyDescent="0.4">
      <c r="A10" s="93"/>
      <c r="B10" s="81"/>
      <c r="C10" s="43" t="s">
        <v>8</v>
      </c>
      <c r="D10" s="811" t="s">
        <v>9</v>
      </c>
      <c r="E10" s="811"/>
      <c r="F10" s="1"/>
      <c r="G10" s="5"/>
      <c r="H10" s="5"/>
      <c r="I10" s="6"/>
      <c r="J10" s="6"/>
      <c r="K10" s="6"/>
      <c r="L10" s="73"/>
      <c r="M10" s="9"/>
      <c r="N10" s="5"/>
      <c r="O10" s="5"/>
      <c r="P10" s="5"/>
      <c r="Q10" s="102"/>
      <c r="R10" s="603"/>
      <c r="S10" s="3"/>
      <c r="T10" s="90"/>
      <c r="U10" s="4"/>
      <c r="V10" s="3"/>
      <c r="W10" s="3"/>
      <c r="X10" s="3"/>
      <c r="Y10" s="54"/>
      <c r="Z10" s="3"/>
      <c r="AA10" s="51"/>
      <c r="AB10" s="3"/>
      <c r="AC10" s="3"/>
      <c r="AD10" s="3"/>
      <c r="AE10" s="3"/>
      <c r="AF10" s="3"/>
      <c r="AG10" s="3"/>
      <c r="AH10" s="3"/>
      <c r="AI10" s="3"/>
      <c r="AJ10" s="3"/>
      <c r="AK10" s="3"/>
      <c r="AL10" s="3"/>
      <c r="AM10" s="18"/>
    </row>
    <row r="11" spans="1:39" ht="48" customHeight="1" x14ac:dyDescent="0.4">
      <c r="A11" s="93"/>
      <c r="B11" s="81"/>
      <c r="C11" s="43" t="s">
        <v>10</v>
      </c>
      <c r="D11" s="812" t="s">
        <v>225</v>
      </c>
      <c r="E11" s="813"/>
      <c r="F11" s="2"/>
      <c r="G11" s="5"/>
      <c r="H11" s="5"/>
      <c r="I11" s="814" t="s">
        <v>11</v>
      </c>
      <c r="J11" s="815"/>
      <c r="K11" s="815"/>
      <c r="L11" s="815"/>
      <c r="M11" s="816"/>
      <c r="N11" s="5"/>
      <c r="O11" s="5"/>
      <c r="P11" s="5"/>
      <c r="Q11" s="102"/>
      <c r="R11" s="603"/>
      <c r="S11" s="3"/>
      <c r="T11" s="90"/>
      <c r="U11" s="4"/>
      <c r="V11" s="3"/>
      <c r="W11" s="3"/>
      <c r="X11" s="3"/>
      <c r="Y11" s="54"/>
      <c r="Z11" s="3"/>
      <c r="AA11" s="51"/>
      <c r="AB11" s="3"/>
      <c r="AC11" s="3"/>
      <c r="AD11" s="3"/>
      <c r="AE11" s="3"/>
      <c r="AF11" s="3"/>
      <c r="AG11" s="3"/>
      <c r="AH11" s="3"/>
      <c r="AI11" s="3"/>
      <c r="AJ11" s="3"/>
      <c r="AK11" s="3"/>
      <c r="AL11" s="3"/>
      <c r="AM11" s="18"/>
    </row>
    <row r="12" spans="1:39" ht="50.45" customHeight="1" x14ac:dyDescent="0.4">
      <c r="A12" s="93"/>
      <c r="B12" s="81"/>
      <c r="C12" s="43" t="s">
        <v>12</v>
      </c>
      <c r="D12" s="823" t="s">
        <v>437</v>
      </c>
      <c r="E12" s="824"/>
      <c r="F12" s="13"/>
      <c r="G12" s="5"/>
      <c r="H12" s="5"/>
      <c r="I12" s="817"/>
      <c r="J12" s="818"/>
      <c r="K12" s="818"/>
      <c r="L12" s="818"/>
      <c r="M12" s="819"/>
      <c r="N12" s="5"/>
      <c r="O12" s="5"/>
      <c r="P12" s="5"/>
      <c r="Q12" s="102"/>
      <c r="R12" s="603"/>
      <c r="S12" s="3"/>
      <c r="T12" s="90"/>
      <c r="U12" s="4"/>
      <c r="V12" s="3"/>
      <c r="W12" s="3"/>
      <c r="X12" s="3"/>
      <c r="Y12" s="54"/>
      <c r="Z12" s="3"/>
      <c r="AA12" s="51"/>
      <c r="AB12" s="3"/>
      <c r="AC12" s="3"/>
      <c r="AD12" s="3"/>
      <c r="AE12" s="3"/>
      <c r="AF12" s="3"/>
      <c r="AG12" s="3"/>
      <c r="AH12" s="3"/>
      <c r="AI12" s="3"/>
      <c r="AJ12" s="3"/>
      <c r="AK12" s="3"/>
      <c r="AL12" s="3"/>
      <c r="AM12" s="18"/>
    </row>
    <row r="13" spans="1:39" ht="37.5" x14ac:dyDescent="0.4">
      <c r="A13" s="93"/>
      <c r="B13" s="81"/>
      <c r="C13" s="43" t="s">
        <v>13</v>
      </c>
      <c r="D13" s="825"/>
      <c r="E13" s="825"/>
      <c r="F13" s="88"/>
      <c r="G13" s="5"/>
      <c r="H13" s="5"/>
      <c r="I13" s="817"/>
      <c r="J13" s="818"/>
      <c r="K13" s="818"/>
      <c r="L13" s="818"/>
      <c r="M13" s="819"/>
      <c r="N13" s="5"/>
      <c r="O13" s="5"/>
      <c r="P13" s="76"/>
      <c r="Q13" s="102"/>
      <c r="R13" s="603"/>
      <c r="S13" s="3"/>
      <c r="T13" s="90"/>
      <c r="U13" s="4"/>
      <c r="V13" s="3"/>
      <c r="W13" s="3"/>
      <c r="X13" s="3"/>
      <c r="Y13" s="54"/>
      <c r="Z13" s="3"/>
      <c r="AA13" s="51"/>
      <c r="AB13" s="3"/>
      <c r="AC13" s="3"/>
      <c r="AD13" s="3"/>
      <c r="AE13" s="3"/>
      <c r="AF13" s="3"/>
      <c r="AG13" s="3"/>
      <c r="AH13" s="3"/>
      <c r="AI13" s="3"/>
      <c r="AJ13" s="3"/>
      <c r="AK13" s="3"/>
      <c r="AL13" s="3"/>
      <c r="AM13" s="18"/>
    </row>
    <row r="14" spans="1:39" ht="37.5" x14ac:dyDescent="0.4">
      <c r="A14" s="93"/>
      <c r="B14" s="81"/>
      <c r="C14" s="43" t="s">
        <v>14</v>
      </c>
      <c r="D14" s="826"/>
      <c r="E14" s="826"/>
      <c r="F14" s="88"/>
      <c r="G14" s="5"/>
      <c r="H14" s="5"/>
      <c r="I14" s="817"/>
      <c r="J14" s="818"/>
      <c r="K14" s="818"/>
      <c r="L14" s="818"/>
      <c r="M14" s="819"/>
      <c r="N14" s="5"/>
      <c r="O14" s="5"/>
      <c r="P14" s="5"/>
      <c r="Q14" s="102"/>
      <c r="R14" s="603"/>
      <c r="S14" s="3"/>
      <c r="T14" s="90"/>
      <c r="U14" s="4"/>
      <c r="V14" s="3"/>
      <c r="W14" s="3"/>
      <c r="X14" s="3"/>
      <c r="Y14" s="54"/>
      <c r="Z14" s="3"/>
      <c r="AA14" s="51"/>
      <c r="AB14" s="3"/>
      <c r="AC14" s="3"/>
      <c r="AD14" s="3"/>
      <c r="AE14" s="3"/>
      <c r="AF14" s="3"/>
      <c r="AG14" s="3"/>
      <c r="AH14" s="3"/>
      <c r="AI14" s="3"/>
      <c r="AJ14" s="3"/>
      <c r="AK14" s="3"/>
      <c r="AL14" s="3"/>
      <c r="AM14" s="18"/>
    </row>
    <row r="15" spans="1:39" ht="38.25" thickBot="1" x14ac:dyDescent="0.45">
      <c r="A15" s="93"/>
      <c r="B15" s="81"/>
      <c r="C15" s="44" t="s">
        <v>15</v>
      </c>
      <c r="D15" s="827">
        <v>43103</v>
      </c>
      <c r="E15" s="828"/>
      <c r="F15" s="89"/>
      <c r="G15" s="5"/>
      <c r="H15" s="5"/>
      <c r="I15" s="820"/>
      <c r="J15" s="821"/>
      <c r="K15" s="821"/>
      <c r="L15" s="821"/>
      <c r="M15" s="822"/>
      <c r="N15" s="5"/>
      <c r="O15" s="5"/>
      <c r="P15" s="5"/>
      <c r="Q15" s="102"/>
      <c r="R15" s="603"/>
      <c r="S15" s="3"/>
      <c r="T15" s="90"/>
      <c r="U15" s="4"/>
      <c r="V15" s="3"/>
      <c r="W15" s="3"/>
      <c r="X15" s="3"/>
      <c r="Y15" s="54"/>
      <c r="Z15" s="3"/>
      <c r="AA15" s="51"/>
      <c r="AB15" s="3"/>
      <c r="AC15" s="3"/>
      <c r="AD15" s="3"/>
      <c r="AE15" s="3"/>
      <c r="AF15" s="3"/>
      <c r="AG15" s="3"/>
      <c r="AH15" s="3"/>
      <c r="AI15" s="3"/>
      <c r="AJ15" s="3"/>
      <c r="AK15" s="3"/>
      <c r="AL15" s="3"/>
      <c r="AM15" s="18"/>
    </row>
    <row r="16" spans="1:39" ht="26.1" x14ac:dyDescent="0.6">
      <c r="A16" s="93"/>
      <c r="B16" s="81"/>
      <c r="C16" s="2"/>
      <c r="D16" s="20"/>
      <c r="E16" s="7"/>
      <c r="F16" s="7"/>
      <c r="G16" s="5"/>
      <c r="H16" s="5"/>
      <c r="I16" s="76"/>
      <c r="J16" s="14"/>
      <c r="L16" s="74"/>
      <c r="M16" s="41"/>
      <c r="N16" s="5"/>
      <c r="O16" s="5"/>
      <c r="P16" s="79"/>
      <c r="Q16" s="103"/>
      <c r="R16" s="604"/>
      <c r="S16" s="3"/>
      <c r="T16" s="90"/>
      <c r="U16" s="4"/>
      <c r="V16" s="3"/>
      <c r="W16" s="3"/>
      <c r="X16" s="82"/>
      <c r="Y16" s="54"/>
      <c r="Z16" s="3"/>
      <c r="AA16" s="51"/>
      <c r="AB16" s="3"/>
      <c r="AC16" s="3"/>
      <c r="AD16" s="3"/>
      <c r="AE16" s="3"/>
      <c r="AF16" s="3"/>
      <c r="AG16" s="3"/>
      <c r="AH16" s="3"/>
      <c r="AI16" s="3"/>
      <c r="AJ16" s="3"/>
      <c r="AK16" s="3"/>
      <c r="AL16" s="3"/>
      <c r="AM16" s="18"/>
    </row>
    <row r="17" spans="1:39" ht="62.1" thickBot="1" x14ac:dyDescent="0.65">
      <c r="A17" s="93"/>
      <c r="B17" s="81"/>
      <c r="C17" s="807" t="s">
        <v>16</v>
      </c>
      <c r="D17" s="807"/>
      <c r="E17" s="5"/>
      <c r="F17" s="5"/>
      <c r="G17" s="5"/>
      <c r="H17" s="5"/>
      <c r="I17" s="5"/>
      <c r="J17" s="16"/>
      <c r="K17" s="87"/>
      <c r="L17" s="83" t="s">
        <v>100</v>
      </c>
      <c r="M17" s="84" t="s">
        <v>287</v>
      </c>
      <c r="N17" s="5"/>
      <c r="O17" s="5"/>
      <c r="P17" s="16"/>
      <c r="Q17" s="104"/>
      <c r="R17" s="605"/>
      <c r="S17" s="3"/>
      <c r="T17" s="90"/>
      <c r="U17" s="4"/>
      <c r="V17" s="3"/>
      <c r="W17" s="3"/>
      <c r="X17" s="15"/>
      <c r="Y17" s="55"/>
      <c r="Z17" s="15"/>
      <c r="AA17" s="86" t="s">
        <v>92</v>
      </c>
      <c r="AB17" s="3"/>
      <c r="AC17" s="3"/>
      <c r="AD17" s="3"/>
      <c r="AE17" s="3"/>
      <c r="AF17" s="3"/>
      <c r="AG17" s="3"/>
      <c r="AH17" s="3"/>
      <c r="AI17" s="3"/>
      <c r="AJ17" s="3"/>
      <c r="AK17" s="3"/>
      <c r="AL17" s="3"/>
      <c r="AM17" s="18"/>
    </row>
    <row r="18" spans="1:39" ht="36" x14ac:dyDescent="0.6">
      <c r="A18" s="93"/>
      <c r="B18" s="81"/>
      <c r="C18" s="40"/>
      <c r="D18" s="21"/>
      <c r="E18" s="5"/>
      <c r="F18" s="5"/>
      <c r="G18" s="5"/>
      <c r="H18" s="5"/>
      <c r="I18" s="5"/>
      <c r="J18" s="6"/>
      <c r="K18" s="5"/>
      <c r="L18" s="596">
        <f>SUBTOTAL(9,L20:L185)</f>
        <v>799232500</v>
      </c>
      <c r="M18" s="596">
        <f>SUBTOTAL(9,M20:M185)</f>
        <v>799232500</v>
      </c>
      <c r="N18" s="5"/>
      <c r="O18" s="5"/>
      <c r="P18" s="5"/>
      <c r="Q18" s="102"/>
      <c r="R18" s="603"/>
      <c r="S18" s="3"/>
      <c r="T18" s="90"/>
      <c r="U18" s="4"/>
      <c r="V18" s="3"/>
      <c r="W18" s="3"/>
      <c r="X18" s="85">
        <f t="shared" ref="X18:AA18" si="0">SUBTOTAL(9,X20:X185)</f>
        <v>0</v>
      </c>
      <c r="Y18" s="85">
        <f t="shared" si="0"/>
        <v>0</v>
      </c>
      <c r="Z18" s="85">
        <f t="shared" si="0"/>
        <v>0</v>
      </c>
      <c r="AA18" s="85">
        <f t="shared" si="0"/>
        <v>0</v>
      </c>
      <c r="AB18" s="75"/>
      <c r="AC18" s="75"/>
      <c r="AD18" s="75"/>
      <c r="AE18" s="75"/>
      <c r="AF18" s="3"/>
      <c r="AG18" s="3"/>
      <c r="AH18" s="3"/>
      <c r="AI18" s="3"/>
      <c r="AJ18" s="3"/>
      <c r="AK18" s="3"/>
      <c r="AL18" s="3"/>
      <c r="AM18" s="18"/>
    </row>
    <row r="19" spans="1:39" ht="126" customHeight="1" x14ac:dyDescent="0.25">
      <c r="A19" s="579" t="s">
        <v>299</v>
      </c>
      <c r="B19" s="579" t="s">
        <v>300</v>
      </c>
      <c r="C19" s="579" t="s">
        <v>17</v>
      </c>
      <c r="D19" s="579" t="s">
        <v>175</v>
      </c>
      <c r="E19" s="579" t="s">
        <v>160</v>
      </c>
      <c r="F19" s="579" t="s">
        <v>159</v>
      </c>
      <c r="G19" s="579" t="s">
        <v>18</v>
      </c>
      <c r="H19" s="579" t="s">
        <v>138</v>
      </c>
      <c r="I19" s="579" t="s">
        <v>19</v>
      </c>
      <c r="J19" s="579" t="s">
        <v>20</v>
      </c>
      <c r="K19" s="579" t="s">
        <v>189</v>
      </c>
      <c r="L19" s="597" t="s">
        <v>190</v>
      </c>
      <c r="M19" s="598" t="s">
        <v>191</v>
      </c>
      <c r="N19" s="579" t="s">
        <v>192</v>
      </c>
      <c r="O19" s="579" t="s">
        <v>21</v>
      </c>
      <c r="P19" s="579" t="s">
        <v>22</v>
      </c>
      <c r="Q19" s="580"/>
      <c r="R19" s="607" t="s">
        <v>553</v>
      </c>
      <c r="S19" s="581" t="s">
        <v>23</v>
      </c>
      <c r="T19" s="581" t="s">
        <v>164</v>
      </c>
      <c r="U19" s="582" t="s">
        <v>24</v>
      </c>
      <c r="V19" s="581" t="s">
        <v>25</v>
      </c>
      <c r="W19" s="581" t="s">
        <v>26</v>
      </c>
      <c r="X19" s="583" t="s">
        <v>271</v>
      </c>
      <c r="Y19" s="583" t="s">
        <v>182</v>
      </c>
      <c r="Z19" s="583" t="s">
        <v>163</v>
      </c>
      <c r="AA19" s="584" t="s">
        <v>233</v>
      </c>
      <c r="AB19" s="581" t="s">
        <v>27</v>
      </c>
      <c r="AC19" s="581" t="s">
        <v>83</v>
      </c>
      <c r="AD19" s="581" t="s">
        <v>84</v>
      </c>
      <c r="AE19" s="581" t="s">
        <v>28</v>
      </c>
      <c r="AF19" s="581" t="s">
        <v>29</v>
      </c>
      <c r="AG19" s="581" t="s">
        <v>85</v>
      </c>
      <c r="AH19" s="581" t="s">
        <v>30</v>
      </c>
      <c r="AI19" s="581" t="s">
        <v>31</v>
      </c>
      <c r="AJ19" s="581" t="s">
        <v>32</v>
      </c>
      <c r="AK19" s="581" t="s">
        <v>33</v>
      </c>
      <c r="AL19" s="581" t="s">
        <v>86</v>
      </c>
      <c r="AM19" s="585" t="s">
        <v>34</v>
      </c>
    </row>
    <row r="20" spans="1:39" ht="92.1" hidden="1" x14ac:dyDescent="0.35">
      <c r="A20" s="586">
        <v>1</v>
      </c>
      <c r="B20" s="587" t="s">
        <v>264</v>
      </c>
      <c r="C20" s="588">
        <v>78181701</v>
      </c>
      <c r="D20" s="589" t="s">
        <v>219</v>
      </c>
      <c r="E20" s="587" t="s">
        <v>48</v>
      </c>
      <c r="F20" s="587">
        <v>1</v>
      </c>
      <c r="G20" s="590" t="s">
        <v>73</v>
      </c>
      <c r="H20" s="591">
        <v>12</v>
      </c>
      <c r="I20" s="587" t="s">
        <v>50</v>
      </c>
      <c r="J20" s="587" t="s">
        <v>35</v>
      </c>
      <c r="K20" s="587" t="s">
        <v>158</v>
      </c>
      <c r="L20" s="592">
        <v>43000000</v>
      </c>
      <c r="M20" s="593">
        <v>43000000</v>
      </c>
      <c r="N20" s="587" t="s">
        <v>51</v>
      </c>
      <c r="O20" s="587" t="s">
        <v>36</v>
      </c>
      <c r="P20" s="587" t="s">
        <v>320</v>
      </c>
      <c r="Q20" s="80"/>
      <c r="R20" s="608"/>
      <c r="S20" s="595"/>
      <c r="T20" s="595"/>
      <c r="U20" s="595"/>
      <c r="V20" s="595"/>
      <c r="W20" s="595"/>
      <c r="X20" s="595"/>
      <c r="Y20" s="595"/>
      <c r="Z20" s="595"/>
      <c r="AA20" s="595"/>
      <c r="AB20" s="595"/>
      <c r="AC20" s="595"/>
      <c r="AD20" s="595"/>
      <c r="AE20" s="595"/>
      <c r="AF20" s="595"/>
      <c r="AG20" s="595"/>
      <c r="AH20" s="595"/>
      <c r="AI20" s="595"/>
      <c r="AJ20" s="595"/>
      <c r="AK20" s="595"/>
      <c r="AL20" s="595"/>
      <c r="AM20" s="595"/>
    </row>
    <row r="21" spans="1:39" ht="92.1" hidden="1" x14ac:dyDescent="0.35">
      <c r="A21" s="586">
        <f>1+A20</f>
        <v>2</v>
      </c>
      <c r="B21" s="587" t="s">
        <v>264</v>
      </c>
      <c r="C21" s="588">
        <v>25172504</v>
      </c>
      <c r="D21" s="589" t="s">
        <v>52</v>
      </c>
      <c r="E21" s="587" t="s">
        <v>48</v>
      </c>
      <c r="F21" s="587">
        <v>1</v>
      </c>
      <c r="G21" s="590" t="s">
        <v>79</v>
      </c>
      <c r="H21" s="591" t="s">
        <v>156</v>
      </c>
      <c r="I21" s="587" t="s">
        <v>53</v>
      </c>
      <c r="J21" s="587" t="s">
        <v>35</v>
      </c>
      <c r="K21" s="587" t="s">
        <v>54</v>
      </c>
      <c r="L21" s="592">
        <v>4000000</v>
      </c>
      <c r="M21" s="593">
        <v>4000000</v>
      </c>
      <c r="N21" s="587" t="s">
        <v>51</v>
      </c>
      <c r="O21" s="587" t="s">
        <v>36</v>
      </c>
      <c r="P21" s="587" t="s">
        <v>320</v>
      </c>
      <c r="Q21" s="80"/>
      <c r="R21" s="608"/>
      <c r="S21" s="595"/>
      <c r="T21" s="595"/>
      <c r="U21" s="595"/>
      <c r="V21" s="595"/>
      <c r="W21" s="595"/>
      <c r="X21" s="595"/>
      <c r="Y21" s="595"/>
      <c r="Z21" s="595"/>
      <c r="AA21" s="595"/>
      <c r="AB21" s="595"/>
      <c r="AC21" s="595"/>
      <c r="AD21" s="595"/>
      <c r="AE21" s="595"/>
      <c r="AF21" s="595"/>
      <c r="AG21" s="595"/>
      <c r="AH21" s="595"/>
      <c r="AI21" s="595"/>
      <c r="AJ21" s="595"/>
      <c r="AK21" s="595"/>
      <c r="AL21" s="595"/>
      <c r="AM21" s="595"/>
    </row>
    <row r="22" spans="1:39" ht="255" hidden="1" customHeight="1" x14ac:dyDescent="0.35">
      <c r="A22" s="586">
        <f>SUM(A21+1)</f>
        <v>3</v>
      </c>
      <c r="B22" s="587" t="s">
        <v>264</v>
      </c>
      <c r="C22" s="588" t="s">
        <v>67</v>
      </c>
      <c r="D22" s="589" t="s">
        <v>40</v>
      </c>
      <c r="E22" s="587" t="s">
        <v>48</v>
      </c>
      <c r="F22" s="587">
        <v>1</v>
      </c>
      <c r="G22" s="590" t="s">
        <v>76</v>
      </c>
      <c r="H22" s="591">
        <v>2</v>
      </c>
      <c r="I22" s="587" t="s">
        <v>173</v>
      </c>
      <c r="J22" s="587" t="s">
        <v>35</v>
      </c>
      <c r="K22" s="587" t="s">
        <v>41</v>
      </c>
      <c r="L22" s="592">
        <v>40000000</v>
      </c>
      <c r="M22" s="593">
        <v>40000000</v>
      </c>
      <c r="N22" s="587" t="s">
        <v>51</v>
      </c>
      <c r="O22" s="587" t="s">
        <v>36</v>
      </c>
      <c r="P22" s="587" t="s">
        <v>320</v>
      </c>
      <c r="Q22" s="80"/>
      <c r="R22" s="608"/>
      <c r="S22" s="595"/>
      <c r="T22" s="595"/>
      <c r="U22" s="595"/>
      <c r="V22" s="595"/>
      <c r="W22" s="595"/>
      <c r="X22" s="595"/>
      <c r="Y22" s="595"/>
      <c r="Z22" s="595"/>
      <c r="AA22" s="595"/>
      <c r="AB22" s="595"/>
      <c r="AC22" s="595"/>
      <c r="AD22" s="595"/>
      <c r="AE22" s="595"/>
      <c r="AF22" s="595"/>
      <c r="AG22" s="595"/>
      <c r="AH22" s="595"/>
      <c r="AI22" s="595"/>
      <c r="AJ22" s="595"/>
      <c r="AK22" s="595"/>
      <c r="AL22" s="595"/>
      <c r="AM22" s="595"/>
    </row>
    <row r="23" spans="1:39" ht="92.1" hidden="1" x14ac:dyDescent="0.35">
      <c r="A23" s="586">
        <f t="shared" ref="A23:A25" si="1">SUM(A22+1)</f>
        <v>4</v>
      </c>
      <c r="B23" s="587" t="s">
        <v>264</v>
      </c>
      <c r="C23" s="588">
        <v>44103103</v>
      </c>
      <c r="D23" s="589" t="s">
        <v>201</v>
      </c>
      <c r="E23" s="587" t="s">
        <v>48</v>
      </c>
      <c r="F23" s="587">
        <v>1</v>
      </c>
      <c r="G23" s="590" t="s">
        <v>75</v>
      </c>
      <c r="H23" s="591" t="s">
        <v>157</v>
      </c>
      <c r="I23" s="587" t="s">
        <v>173</v>
      </c>
      <c r="J23" s="587" t="s">
        <v>35</v>
      </c>
      <c r="K23" s="587" t="s">
        <v>41</v>
      </c>
      <c r="L23" s="622">
        <v>55000000</v>
      </c>
      <c r="M23" s="623">
        <v>55000000</v>
      </c>
      <c r="N23" s="587" t="s">
        <v>51</v>
      </c>
      <c r="O23" s="587" t="s">
        <v>36</v>
      </c>
      <c r="P23" s="587" t="s">
        <v>320</v>
      </c>
      <c r="Q23" s="80"/>
      <c r="R23" s="608"/>
      <c r="S23" s="595"/>
      <c r="T23" s="595"/>
      <c r="U23" s="595"/>
      <c r="V23" s="595"/>
      <c r="W23" s="595"/>
      <c r="X23" s="595"/>
      <c r="Y23" s="595"/>
      <c r="Z23" s="595"/>
      <c r="AA23" s="595"/>
      <c r="AB23" s="595"/>
      <c r="AC23" s="595"/>
      <c r="AD23" s="595"/>
      <c r="AE23" s="595"/>
      <c r="AF23" s="595"/>
      <c r="AG23" s="595"/>
      <c r="AH23" s="595"/>
      <c r="AI23" s="595"/>
      <c r="AJ23" s="595"/>
      <c r="AK23" s="595"/>
      <c r="AL23" s="595"/>
      <c r="AM23" s="595"/>
    </row>
    <row r="24" spans="1:39" ht="92.1" hidden="1" x14ac:dyDescent="0.35">
      <c r="A24" s="586">
        <f t="shared" si="1"/>
        <v>5</v>
      </c>
      <c r="B24" s="587" t="s">
        <v>264</v>
      </c>
      <c r="C24" s="588">
        <v>44103104</v>
      </c>
      <c r="D24" s="589" t="s">
        <v>201</v>
      </c>
      <c r="E24" s="587" t="s">
        <v>48</v>
      </c>
      <c r="F24" s="587">
        <v>1</v>
      </c>
      <c r="G24" s="590" t="s">
        <v>75</v>
      </c>
      <c r="H24" s="591" t="s">
        <v>157</v>
      </c>
      <c r="I24" s="587" t="s">
        <v>305</v>
      </c>
      <c r="J24" s="587" t="s">
        <v>35</v>
      </c>
      <c r="K24" s="587" t="s">
        <v>41</v>
      </c>
      <c r="L24" s="622">
        <v>55000000</v>
      </c>
      <c r="M24" s="623">
        <v>55000000</v>
      </c>
      <c r="N24" s="587" t="s">
        <v>51</v>
      </c>
      <c r="O24" s="587" t="s">
        <v>36</v>
      </c>
      <c r="P24" s="587" t="s">
        <v>320</v>
      </c>
      <c r="Q24" s="80"/>
      <c r="R24" s="608"/>
      <c r="S24" s="595"/>
      <c r="T24" s="595"/>
      <c r="U24" s="595"/>
      <c r="V24" s="595"/>
      <c r="W24" s="595"/>
      <c r="X24" s="595"/>
      <c r="Y24" s="595"/>
      <c r="Z24" s="595"/>
      <c r="AA24" s="595"/>
      <c r="AB24" s="595"/>
      <c r="AC24" s="595"/>
      <c r="AD24" s="595"/>
      <c r="AE24" s="595"/>
      <c r="AF24" s="595"/>
      <c r="AG24" s="595"/>
      <c r="AH24" s="595"/>
      <c r="AI24" s="595"/>
      <c r="AJ24" s="595"/>
      <c r="AK24" s="595"/>
      <c r="AL24" s="595"/>
      <c r="AM24" s="595"/>
    </row>
    <row r="25" spans="1:39" ht="92.1" hidden="1" x14ac:dyDescent="0.35">
      <c r="A25" s="586">
        <f t="shared" si="1"/>
        <v>6</v>
      </c>
      <c r="B25" s="587" t="s">
        <v>264</v>
      </c>
      <c r="C25" s="588">
        <v>80101706</v>
      </c>
      <c r="D25" s="612" t="s">
        <v>438</v>
      </c>
      <c r="E25" s="587" t="s">
        <v>48</v>
      </c>
      <c r="F25" s="587">
        <v>1</v>
      </c>
      <c r="G25" s="590" t="s">
        <v>79</v>
      </c>
      <c r="H25" s="591" t="s">
        <v>232</v>
      </c>
      <c r="I25" s="587" t="s">
        <v>61</v>
      </c>
      <c r="J25" s="587" t="s">
        <v>35</v>
      </c>
      <c r="K25" s="587" t="s">
        <v>439</v>
      </c>
      <c r="L25" s="592">
        <v>18000000</v>
      </c>
      <c r="M25" s="593">
        <v>18000000</v>
      </c>
      <c r="N25" s="587" t="s">
        <v>51</v>
      </c>
      <c r="O25" s="587" t="s">
        <v>36</v>
      </c>
      <c r="P25" s="587" t="s">
        <v>320</v>
      </c>
      <c r="Q25" s="80"/>
      <c r="R25" s="608"/>
      <c r="S25" s="595"/>
      <c r="T25" s="595"/>
      <c r="U25" s="595"/>
      <c r="V25" s="595"/>
      <c r="W25" s="595"/>
      <c r="X25" s="595"/>
      <c r="Y25" s="595"/>
      <c r="Z25" s="595"/>
      <c r="AA25" s="595"/>
      <c r="AB25" s="595"/>
      <c r="AC25" s="595"/>
      <c r="AD25" s="595"/>
      <c r="AE25" s="595"/>
      <c r="AF25" s="595"/>
      <c r="AG25" s="595"/>
      <c r="AH25" s="595"/>
      <c r="AI25" s="595"/>
      <c r="AJ25" s="595"/>
      <c r="AK25" s="595"/>
      <c r="AL25" s="595"/>
      <c r="AM25" s="595"/>
    </row>
    <row r="26" spans="1:39" ht="114.95" hidden="1" x14ac:dyDescent="0.35">
      <c r="A26" s="586">
        <f t="shared" ref="A26:A57" si="2">SUM(A25+1)</f>
        <v>7</v>
      </c>
      <c r="B26" s="587" t="s">
        <v>264</v>
      </c>
      <c r="C26" s="588">
        <v>72101506</v>
      </c>
      <c r="D26" s="589" t="s">
        <v>304</v>
      </c>
      <c r="E26" s="587" t="s">
        <v>48</v>
      </c>
      <c r="F26" s="587">
        <v>1</v>
      </c>
      <c r="G26" s="590" t="s">
        <v>73</v>
      </c>
      <c r="H26" s="591" t="s">
        <v>284</v>
      </c>
      <c r="I26" s="587" t="s">
        <v>55</v>
      </c>
      <c r="J26" s="587" t="s">
        <v>35</v>
      </c>
      <c r="K26" s="587" t="s">
        <v>46</v>
      </c>
      <c r="L26" s="592">
        <v>3000000</v>
      </c>
      <c r="M26" s="593">
        <v>3000000</v>
      </c>
      <c r="N26" s="587" t="s">
        <v>51</v>
      </c>
      <c r="O26" s="587" t="s">
        <v>36</v>
      </c>
      <c r="P26" s="587" t="s">
        <v>320</v>
      </c>
      <c r="Q26" s="80"/>
      <c r="R26" s="608"/>
      <c r="S26" s="595"/>
      <c r="T26" s="595"/>
      <c r="U26" s="595"/>
      <c r="V26" s="595"/>
      <c r="W26" s="595"/>
      <c r="X26" s="595"/>
      <c r="Y26" s="595"/>
      <c r="Z26" s="595"/>
      <c r="AA26" s="595"/>
      <c r="AB26" s="595"/>
      <c r="AC26" s="595"/>
      <c r="AD26" s="595"/>
      <c r="AE26" s="595"/>
      <c r="AF26" s="595"/>
      <c r="AG26" s="595"/>
      <c r="AH26" s="595"/>
      <c r="AI26" s="595"/>
      <c r="AJ26" s="595"/>
      <c r="AK26" s="595"/>
      <c r="AL26" s="595"/>
      <c r="AM26" s="595"/>
    </row>
    <row r="27" spans="1:39" ht="92.1" hidden="1" x14ac:dyDescent="0.35">
      <c r="A27" s="586">
        <f t="shared" si="2"/>
        <v>8</v>
      </c>
      <c r="B27" s="587" t="s">
        <v>264</v>
      </c>
      <c r="C27" s="588" t="s">
        <v>466</v>
      </c>
      <c r="D27" s="589" t="s">
        <v>467</v>
      </c>
      <c r="E27" s="587" t="s">
        <v>48</v>
      </c>
      <c r="F27" s="587">
        <v>1</v>
      </c>
      <c r="G27" s="590" t="s">
        <v>80</v>
      </c>
      <c r="H27" s="591">
        <v>8</v>
      </c>
      <c r="I27" s="587" t="s">
        <v>55</v>
      </c>
      <c r="J27" s="587" t="s">
        <v>35</v>
      </c>
      <c r="K27" s="587" t="s">
        <v>46</v>
      </c>
      <c r="L27" s="592">
        <v>10000000</v>
      </c>
      <c r="M27" s="593">
        <v>10000000</v>
      </c>
      <c r="N27" s="587" t="s">
        <v>51</v>
      </c>
      <c r="O27" s="587" t="s">
        <v>36</v>
      </c>
      <c r="P27" s="587" t="s">
        <v>320</v>
      </c>
      <c r="Q27" s="80"/>
      <c r="R27" s="608"/>
      <c r="S27" s="595"/>
      <c r="T27" s="595"/>
      <c r="U27" s="595"/>
      <c r="V27" s="595"/>
      <c r="W27" s="595"/>
      <c r="X27" s="595"/>
      <c r="Y27" s="595"/>
      <c r="Z27" s="595"/>
      <c r="AA27" s="595"/>
      <c r="AB27" s="595"/>
      <c r="AC27" s="595"/>
      <c r="AD27" s="595"/>
      <c r="AE27" s="595"/>
      <c r="AF27" s="595"/>
      <c r="AG27" s="595"/>
      <c r="AH27" s="595"/>
      <c r="AI27" s="595"/>
      <c r="AJ27" s="595"/>
      <c r="AK27" s="595"/>
      <c r="AL27" s="595"/>
      <c r="AM27" s="595"/>
    </row>
    <row r="28" spans="1:39" ht="136.15" hidden="1" customHeight="1" x14ac:dyDescent="0.35">
      <c r="A28" s="586">
        <f t="shared" si="2"/>
        <v>9</v>
      </c>
      <c r="B28" s="587" t="s">
        <v>476</v>
      </c>
      <c r="C28" s="588">
        <v>72101506</v>
      </c>
      <c r="D28" s="589" t="s">
        <v>215</v>
      </c>
      <c r="E28" s="587" t="s">
        <v>48</v>
      </c>
      <c r="F28" s="587">
        <v>1</v>
      </c>
      <c r="G28" s="590" t="s">
        <v>75</v>
      </c>
      <c r="H28" s="591" t="s">
        <v>157</v>
      </c>
      <c r="I28" s="587" t="s">
        <v>55</v>
      </c>
      <c r="J28" s="587" t="s">
        <v>35</v>
      </c>
      <c r="K28" s="587" t="s">
        <v>46</v>
      </c>
      <c r="L28" s="592">
        <v>10000000</v>
      </c>
      <c r="M28" s="593">
        <v>10000000</v>
      </c>
      <c r="N28" s="587" t="s">
        <v>51</v>
      </c>
      <c r="O28" s="587" t="s">
        <v>36</v>
      </c>
      <c r="P28" s="587" t="s">
        <v>475</v>
      </c>
      <c r="Q28" s="80"/>
      <c r="R28" s="608"/>
      <c r="S28" s="595"/>
      <c r="T28" s="595"/>
      <c r="U28" s="595"/>
      <c r="V28" s="595"/>
      <c r="W28" s="595"/>
      <c r="X28" s="595"/>
      <c r="Y28" s="595"/>
      <c r="Z28" s="595"/>
      <c r="AA28" s="595"/>
      <c r="AB28" s="595"/>
      <c r="AC28" s="595"/>
      <c r="AD28" s="595"/>
      <c r="AE28" s="595"/>
      <c r="AF28" s="595"/>
      <c r="AG28" s="595"/>
      <c r="AH28" s="595"/>
      <c r="AI28" s="595"/>
      <c r="AJ28" s="595"/>
      <c r="AK28" s="595"/>
      <c r="AL28" s="595"/>
      <c r="AM28" s="595"/>
    </row>
    <row r="29" spans="1:39" ht="92.1" hidden="1" x14ac:dyDescent="0.35">
      <c r="A29" s="586">
        <f t="shared" si="2"/>
        <v>10</v>
      </c>
      <c r="B29" s="587" t="s">
        <v>264</v>
      </c>
      <c r="C29" s="588">
        <v>72102900</v>
      </c>
      <c r="D29" s="589" t="s">
        <v>56</v>
      </c>
      <c r="E29" s="587" t="s">
        <v>48</v>
      </c>
      <c r="F29" s="587">
        <v>1</v>
      </c>
      <c r="G29" s="590" t="s">
        <v>443</v>
      </c>
      <c r="H29" s="591" t="s">
        <v>444</v>
      </c>
      <c r="I29" s="587" t="s">
        <v>50</v>
      </c>
      <c r="J29" s="587" t="s">
        <v>35</v>
      </c>
      <c r="K29" s="587" t="s">
        <v>57</v>
      </c>
      <c r="L29" s="592">
        <v>290000000</v>
      </c>
      <c r="M29" s="593">
        <v>99000000</v>
      </c>
      <c r="N29" s="587" t="s">
        <v>49</v>
      </c>
      <c r="O29" s="587" t="s">
        <v>445</v>
      </c>
      <c r="P29" s="587" t="s">
        <v>320</v>
      </c>
      <c r="Q29" s="80"/>
      <c r="R29" s="608"/>
      <c r="S29" s="595"/>
      <c r="T29" s="595"/>
      <c r="U29" s="595"/>
      <c r="V29" s="595"/>
      <c r="W29" s="595"/>
      <c r="X29" s="595"/>
      <c r="Y29" s="595"/>
      <c r="Z29" s="595"/>
      <c r="AA29" s="595"/>
      <c r="AB29" s="595"/>
      <c r="AC29" s="595"/>
      <c r="AD29" s="595"/>
      <c r="AE29" s="595"/>
      <c r="AF29" s="595"/>
      <c r="AG29" s="595"/>
      <c r="AH29" s="595"/>
      <c r="AI29" s="595"/>
      <c r="AJ29" s="595"/>
      <c r="AK29" s="595"/>
      <c r="AL29" s="595"/>
      <c r="AM29" s="595"/>
    </row>
    <row r="30" spans="1:39" ht="92.1" hidden="1" x14ac:dyDescent="0.35">
      <c r="A30" s="586">
        <f t="shared" si="2"/>
        <v>11</v>
      </c>
      <c r="B30" s="587" t="s">
        <v>264</v>
      </c>
      <c r="C30" s="588">
        <v>84131603</v>
      </c>
      <c r="D30" s="589" t="s">
        <v>62</v>
      </c>
      <c r="E30" s="587" t="s">
        <v>48</v>
      </c>
      <c r="F30" s="587">
        <v>1</v>
      </c>
      <c r="G30" s="590" t="s">
        <v>73</v>
      </c>
      <c r="H30" s="591" t="s">
        <v>156</v>
      </c>
      <c r="I30" s="587" t="s">
        <v>50</v>
      </c>
      <c r="J30" s="587" t="s">
        <v>35</v>
      </c>
      <c r="K30" s="587" t="s">
        <v>39</v>
      </c>
      <c r="L30" s="592">
        <v>4000000</v>
      </c>
      <c r="M30" s="593">
        <v>4000000</v>
      </c>
      <c r="N30" s="587" t="s">
        <v>51</v>
      </c>
      <c r="O30" s="587" t="s">
        <v>36</v>
      </c>
      <c r="P30" s="587" t="s">
        <v>320</v>
      </c>
      <c r="Q30" s="80"/>
      <c r="R30" s="608"/>
      <c r="S30" s="595"/>
      <c r="T30" s="595"/>
      <c r="U30" s="595"/>
      <c r="V30" s="595"/>
      <c r="W30" s="595"/>
      <c r="X30" s="595"/>
      <c r="Y30" s="595"/>
      <c r="Z30" s="595"/>
      <c r="AA30" s="595"/>
      <c r="AB30" s="595"/>
      <c r="AC30" s="595"/>
      <c r="AD30" s="595"/>
      <c r="AE30" s="595"/>
      <c r="AF30" s="595"/>
      <c r="AG30" s="595"/>
      <c r="AH30" s="595"/>
      <c r="AI30" s="595"/>
      <c r="AJ30" s="595"/>
      <c r="AK30" s="595"/>
      <c r="AL30" s="595"/>
      <c r="AM30" s="595"/>
    </row>
    <row r="31" spans="1:39" ht="92.1" hidden="1" x14ac:dyDescent="0.35">
      <c r="A31" s="586">
        <f t="shared" si="2"/>
        <v>12</v>
      </c>
      <c r="B31" s="587" t="s">
        <v>264</v>
      </c>
      <c r="C31" s="588">
        <v>20102302</v>
      </c>
      <c r="D31" s="589" t="s">
        <v>204</v>
      </c>
      <c r="E31" s="587" t="s">
        <v>48</v>
      </c>
      <c r="F31" s="587">
        <v>1</v>
      </c>
      <c r="G31" s="590" t="s">
        <v>80</v>
      </c>
      <c r="H31" s="591" t="s">
        <v>156</v>
      </c>
      <c r="I31" s="587" t="s">
        <v>55</v>
      </c>
      <c r="J31" s="587" t="s">
        <v>35</v>
      </c>
      <c r="K31" s="587" t="s">
        <v>218</v>
      </c>
      <c r="L31" s="592">
        <v>2400000</v>
      </c>
      <c r="M31" s="593">
        <v>2400000</v>
      </c>
      <c r="N31" s="587" t="s">
        <v>51</v>
      </c>
      <c r="O31" s="587" t="s">
        <v>36</v>
      </c>
      <c r="P31" s="587" t="s">
        <v>320</v>
      </c>
      <c r="Q31" s="80"/>
      <c r="R31" s="608"/>
      <c r="S31" s="595"/>
      <c r="T31" s="595"/>
      <c r="U31" s="595"/>
      <c r="V31" s="595"/>
      <c r="W31" s="595"/>
      <c r="X31" s="595"/>
      <c r="Y31" s="595"/>
      <c r="Z31" s="595"/>
      <c r="AA31" s="595"/>
      <c r="AB31" s="595"/>
      <c r="AC31" s="595"/>
      <c r="AD31" s="595"/>
      <c r="AE31" s="595"/>
      <c r="AF31" s="595"/>
      <c r="AG31" s="595"/>
      <c r="AH31" s="595"/>
      <c r="AI31" s="595"/>
      <c r="AJ31" s="595"/>
      <c r="AK31" s="595"/>
      <c r="AL31" s="595"/>
      <c r="AM31" s="595"/>
    </row>
    <row r="32" spans="1:39" ht="92.1" hidden="1" x14ac:dyDescent="0.35">
      <c r="A32" s="586">
        <f t="shared" si="2"/>
        <v>13</v>
      </c>
      <c r="B32" s="587" t="s">
        <v>264</v>
      </c>
      <c r="C32" s="588">
        <v>55101519</v>
      </c>
      <c r="D32" s="589" t="s">
        <v>179</v>
      </c>
      <c r="E32" s="587" t="s">
        <v>48</v>
      </c>
      <c r="F32" s="587">
        <v>1</v>
      </c>
      <c r="G32" s="590" t="s">
        <v>78</v>
      </c>
      <c r="H32" s="591" t="s">
        <v>206</v>
      </c>
      <c r="I32" s="587" t="s">
        <v>55</v>
      </c>
      <c r="J32" s="587" t="s">
        <v>35</v>
      </c>
      <c r="K32" s="587" t="s">
        <v>193</v>
      </c>
      <c r="L32" s="592">
        <v>2500000</v>
      </c>
      <c r="M32" s="593">
        <v>2500000</v>
      </c>
      <c r="N32" s="587" t="s">
        <v>51</v>
      </c>
      <c r="O32" s="587" t="s">
        <v>36</v>
      </c>
      <c r="P32" s="587" t="s">
        <v>320</v>
      </c>
      <c r="Q32" s="80"/>
      <c r="R32" s="608"/>
      <c r="S32" s="595"/>
      <c r="T32" s="595"/>
      <c r="U32" s="595"/>
      <c r="V32" s="595"/>
      <c r="W32" s="595"/>
      <c r="X32" s="595"/>
      <c r="Y32" s="595"/>
      <c r="Z32" s="595"/>
      <c r="AA32" s="595"/>
      <c r="AB32" s="595"/>
      <c r="AC32" s="595"/>
      <c r="AD32" s="595"/>
      <c r="AE32" s="595"/>
      <c r="AF32" s="595"/>
      <c r="AG32" s="595"/>
      <c r="AH32" s="595"/>
      <c r="AI32" s="595"/>
      <c r="AJ32" s="595"/>
      <c r="AK32" s="595"/>
      <c r="AL32" s="595"/>
      <c r="AM32" s="595"/>
    </row>
    <row r="33" spans="1:39" ht="92.1" hidden="1" x14ac:dyDescent="0.35">
      <c r="A33" s="586">
        <f t="shared" si="2"/>
        <v>14</v>
      </c>
      <c r="B33" s="587" t="s">
        <v>264</v>
      </c>
      <c r="C33" s="588">
        <v>72101516</v>
      </c>
      <c r="D33" s="589" t="s">
        <v>446</v>
      </c>
      <c r="E33" s="587" t="s">
        <v>48</v>
      </c>
      <c r="F33" s="587">
        <v>1</v>
      </c>
      <c r="G33" s="590" t="s">
        <v>76</v>
      </c>
      <c r="H33" s="591" t="s">
        <v>157</v>
      </c>
      <c r="I33" s="587" t="s">
        <v>55</v>
      </c>
      <c r="J33" s="587" t="s">
        <v>35</v>
      </c>
      <c r="K33" s="587" t="s">
        <v>37</v>
      </c>
      <c r="L33" s="592">
        <v>2800000</v>
      </c>
      <c r="M33" s="593">
        <v>2800000</v>
      </c>
      <c r="N33" s="587" t="s">
        <v>51</v>
      </c>
      <c r="O33" s="587" t="s">
        <v>36</v>
      </c>
      <c r="P33" s="587" t="s">
        <v>320</v>
      </c>
      <c r="Q33" s="80"/>
      <c r="R33" s="608"/>
      <c r="S33" s="595"/>
      <c r="T33" s="595"/>
      <c r="U33" s="595"/>
      <c r="V33" s="595"/>
      <c r="W33" s="595"/>
      <c r="X33" s="595"/>
      <c r="Y33" s="595"/>
      <c r="Z33" s="595"/>
      <c r="AA33" s="595"/>
      <c r="AB33" s="595"/>
      <c r="AC33" s="595"/>
      <c r="AD33" s="595"/>
      <c r="AE33" s="595"/>
      <c r="AF33" s="595"/>
      <c r="AG33" s="595"/>
      <c r="AH33" s="595"/>
      <c r="AI33" s="595"/>
      <c r="AJ33" s="595"/>
      <c r="AK33" s="595"/>
      <c r="AL33" s="595"/>
      <c r="AM33" s="595"/>
    </row>
    <row r="34" spans="1:39" ht="92.1" hidden="1" x14ac:dyDescent="0.35">
      <c r="A34" s="586">
        <f t="shared" si="2"/>
        <v>15</v>
      </c>
      <c r="B34" s="587" t="s">
        <v>264</v>
      </c>
      <c r="C34" s="588" t="s">
        <v>205</v>
      </c>
      <c r="D34" s="589" t="s">
        <v>447</v>
      </c>
      <c r="E34" s="587" t="s">
        <v>48</v>
      </c>
      <c r="F34" s="587">
        <v>1</v>
      </c>
      <c r="G34" s="590" t="s">
        <v>80</v>
      </c>
      <c r="H34" s="591" t="s">
        <v>250</v>
      </c>
      <c r="I34" s="587" t="s">
        <v>55</v>
      </c>
      <c r="J34" s="587" t="s">
        <v>35</v>
      </c>
      <c r="K34" s="587" t="s">
        <v>37</v>
      </c>
      <c r="L34" s="592">
        <v>8000000</v>
      </c>
      <c r="M34" s="593">
        <v>8000000</v>
      </c>
      <c r="N34" s="587" t="s">
        <v>51</v>
      </c>
      <c r="O34" s="587" t="s">
        <v>36</v>
      </c>
      <c r="P34" s="587" t="s">
        <v>320</v>
      </c>
      <c r="Q34" s="80"/>
      <c r="R34" s="608"/>
      <c r="S34" s="595"/>
      <c r="T34" s="595"/>
      <c r="U34" s="595"/>
      <c r="V34" s="595"/>
      <c r="W34" s="595"/>
      <c r="X34" s="595"/>
      <c r="Y34" s="595"/>
      <c r="Z34" s="595"/>
      <c r="AA34" s="595"/>
      <c r="AB34" s="595"/>
      <c r="AC34" s="595"/>
      <c r="AD34" s="595"/>
      <c r="AE34" s="595"/>
      <c r="AF34" s="595"/>
      <c r="AG34" s="595"/>
      <c r="AH34" s="595"/>
      <c r="AI34" s="595"/>
      <c r="AJ34" s="595"/>
      <c r="AK34" s="595"/>
      <c r="AL34" s="595"/>
      <c r="AM34" s="595"/>
    </row>
    <row r="35" spans="1:39" ht="92.1" hidden="1" x14ac:dyDescent="0.35">
      <c r="A35" s="586">
        <f t="shared" si="2"/>
        <v>16</v>
      </c>
      <c r="B35" s="587" t="s">
        <v>264</v>
      </c>
      <c r="C35" s="588" t="s">
        <v>205</v>
      </c>
      <c r="D35" s="589" t="s">
        <v>586</v>
      </c>
      <c r="E35" s="587" t="s">
        <v>48</v>
      </c>
      <c r="F35" s="587">
        <v>1</v>
      </c>
      <c r="G35" s="590" t="s">
        <v>80</v>
      </c>
      <c r="H35" s="591" t="s">
        <v>250</v>
      </c>
      <c r="I35" s="587" t="s">
        <v>55</v>
      </c>
      <c r="J35" s="587" t="s">
        <v>35</v>
      </c>
      <c r="K35" s="587" t="s">
        <v>44</v>
      </c>
      <c r="L35" s="592">
        <v>2000000</v>
      </c>
      <c r="M35" s="593">
        <v>2000000</v>
      </c>
      <c r="N35" s="587" t="s">
        <v>51</v>
      </c>
      <c r="O35" s="587" t="s">
        <v>36</v>
      </c>
      <c r="P35" s="587" t="s">
        <v>320</v>
      </c>
      <c r="Q35" s="80"/>
      <c r="R35" s="608"/>
      <c r="S35" s="595"/>
      <c r="T35" s="595"/>
      <c r="U35" s="595"/>
      <c r="V35" s="595"/>
      <c r="W35" s="595"/>
      <c r="X35" s="595"/>
      <c r="Y35" s="595"/>
      <c r="Z35" s="595"/>
      <c r="AA35" s="595"/>
      <c r="AB35" s="595"/>
      <c r="AC35" s="595"/>
      <c r="AD35" s="595"/>
      <c r="AE35" s="595"/>
      <c r="AF35" s="595"/>
      <c r="AG35" s="595"/>
      <c r="AH35" s="595"/>
      <c r="AI35" s="595"/>
      <c r="AJ35" s="595"/>
      <c r="AK35" s="595"/>
      <c r="AL35" s="595"/>
      <c r="AM35" s="595"/>
    </row>
    <row r="36" spans="1:39" ht="92.1" hidden="1" x14ac:dyDescent="0.35">
      <c r="A36" s="586">
        <f t="shared" si="2"/>
        <v>17</v>
      </c>
      <c r="B36" s="587" t="s">
        <v>264</v>
      </c>
      <c r="C36" s="588" t="s">
        <v>205</v>
      </c>
      <c r="D36" s="612" t="s">
        <v>448</v>
      </c>
      <c r="E36" s="587" t="s">
        <v>48</v>
      </c>
      <c r="F36" s="587">
        <v>1</v>
      </c>
      <c r="G36" s="590" t="s">
        <v>166</v>
      </c>
      <c r="H36" s="591" t="s">
        <v>294</v>
      </c>
      <c r="I36" s="587" t="s">
        <v>441</v>
      </c>
      <c r="J36" s="587" t="s">
        <v>35</v>
      </c>
      <c r="K36" s="587" t="s">
        <v>37</v>
      </c>
      <c r="L36" s="592">
        <v>150000000</v>
      </c>
      <c r="M36" s="593">
        <v>150000000</v>
      </c>
      <c r="N36" s="587" t="s">
        <v>51</v>
      </c>
      <c r="O36" s="587" t="s">
        <v>36</v>
      </c>
      <c r="P36" s="587" t="s">
        <v>320</v>
      </c>
      <c r="Q36" s="80"/>
      <c r="R36" s="608"/>
      <c r="S36" s="595"/>
      <c r="T36" s="595"/>
      <c r="U36" s="595"/>
      <c r="V36" s="595"/>
      <c r="W36" s="595"/>
      <c r="X36" s="595"/>
      <c r="Y36" s="595"/>
      <c r="Z36" s="595"/>
      <c r="AA36" s="595"/>
      <c r="AB36" s="595"/>
      <c r="AC36" s="595"/>
      <c r="AD36" s="595"/>
      <c r="AE36" s="595"/>
      <c r="AF36" s="595"/>
      <c r="AG36" s="595"/>
      <c r="AH36" s="595"/>
      <c r="AI36" s="595"/>
      <c r="AJ36" s="595"/>
      <c r="AK36" s="595"/>
      <c r="AL36" s="595"/>
      <c r="AM36" s="595"/>
    </row>
    <row r="37" spans="1:39" ht="92.1" hidden="1" x14ac:dyDescent="0.35">
      <c r="A37" s="586">
        <f t="shared" si="2"/>
        <v>18</v>
      </c>
      <c r="B37" s="587" t="s">
        <v>316</v>
      </c>
      <c r="C37" s="588" t="s">
        <v>449</v>
      </c>
      <c r="D37" s="589" t="s">
        <v>450</v>
      </c>
      <c r="E37" s="587" t="s">
        <v>48</v>
      </c>
      <c r="F37" s="587">
        <v>1</v>
      </c>
      <c r="G37" s="590" t="s">
        <v>79</v>
      </c>
      <c r="H37" s="591" t="s">
        <v>156</v>
      </c>
      <c r="I37" s="587" t="s">
        <v>55</v>
      </c>
      <c r="J37" s="587" t="s">
        <v>35</v>
      </c>
      <c r="K37" s="587" t="s">
        <v>451</v>
      </c>
      <c r="L37" s="592">
        <v>20000000</v>
      </c>
      <c r="M37" s="593">
        <v>20000000</v>
      </c>
      <c r="N37" s="587" t="s">
        <v>51</v>
      </c>
      <c r="O37" s="587" t="s">
        <v>36</v>
      </c>
      <c r="P37" s="587" t="s">
        <v>320</v>
      </c>
      <c r="Q37" s="80"/>
      <c r="R37" s="608"/>
      <c r="S37" s="595"/>
      <c r="T37" s="595"/>
      <c r="U37" s="595"/>
      <c r="V37" s="595"/>
      <c r="W37" s="595"/>
      <c r="X37" s="595"/>
      <c r="Y37" s="595"/>
      <c r="Z37" s="595"/>
      <c r="AA37" s="595"/>
      <c r="AB37" s="595"/>
      <c r="AC37" s="595"/>
      <c r="AD37" s="595"/>
      <c r="AE37" s="595"/>
      <c r="AF37" s="595"/>
      <c r="AG37" s="595"/>
      <c r="AH37" s="595"/>
      <c r="AI37" s="595"/>
      <c r="AJ37" s="595"/>
      <c r="AK37" s="595"/>
      <c r="AL37" s="595"/>
      <c r="AM37" s="595"/>
    </row>
    <row r="38" spans="1:39" ht="92.1" hidden="1" x14ac:dyDescent="0.35">
      <c r="A38" s="586">
        <f t="shared" si="2"/>
        <v>19</v>
      </c>
      <c r="B38" s="587" t="s">
        <v>316</v>
      </c>
      <c r="C38" s="588" t="s">
        <v>452</v>
      </c>
      <c r="D38" s="612" t="s">
        <v>453</v>
      </c>
      <c r="E38" s="587" t="s">
        <v>48</v>
      </c>
      <c r="F38" s="587">
        <v>1</v>
      </c>
      <c r="G38" s="590" t="s">
        <v>78</v>
      </c>
      <c r="H38" s="591" t="s">
        <v>157</v>
      </c>
      <c r="I38" s="587" t="s">
        <v>454</v>
      </c>
      <c r="J38" s="587" t="s">
        <v>35</v>
      </c>
      <c r="K38" s="587" t="s">
        <v>439</v>
      </c>
      <c r="L38" s="592">
        <v>52000000</v>
      </c>
      <c r="M38" s="593">
        <v>52000000</v>
      </c>
      <c r="N38" s="587" t="s">
        <v>51</v>
      </c>
      <c r="O38" s="587" t="s">
        <v>36</v>
      </c>
      <c r="P38" s="587" t="s">
        <v>320</v>
      </c>
      <c r="Q38" s="80"/>
      <c r="R38" s="608"/>
      <c r="S38" s="595"/>
      <c r="T38" s="595"/>
      <c r="U38" s="595"/>
      <c r="V38" s="595"/>
      <c r="W38" s="595"/>
      <c r="X38" s="595"/>
      <c r="Y38" s="595"/>
      <c r="Z38" s="595"/>
      <c r="AA38" s="595"/>
      <c r="AB38" s="595"/>
      <c r="AC38" s="595"/>
      <c r="AD38" s="595"/>
      <c r="AE38" s="595"/>
      <c r="AF38" s="595"/>
      <c r="AG38" s="595"/>
      <c r="AH38" s="595"/>
      <c r="AI38" s="595"/>
      <c r="AJ38" s="595"/>
      <c r="AK38" s="595"/>
      <c r="AL38" s="595"/>
      <c r="AM38" s="595"/>
    </row>
    <row r="39" spans="1:39" ht="92.1" hidden="1" x14ac:dyDescent="0.35">
      <c r="A39" s="586">
        <f t="shared" si="2"/>
        <v>20</v>
      </c>
      <c r="B39" s="587" t="s">
        <v>264</v>
      </c>
      <c r="C39" s="588">
        <v>27110000</v>
      </c>
      <c r="D39" s="589" t="s">
        <v>181</v>
      </c>
      <c r="E39" s="587" t="s">
        <v>48</v>
      </c>
      <c r="F39" s="587">
        <v>1</v>
      </c>
      <c r="G39" s="590" t="s">
        <v>75</v>
      </c>
      <c r="H39" s="591" t="s">
        <v>156</v>
      </c>
      <c r="I39" s="587" t="s">
        <v>55</v>
      </c>
      <c r="J39" s="587" t="s">
        <v>35</v>
      </c>
      <c r="K39" s="587" t="s">
        <v>44</v>
      </c>
      <c r="L39" s="592">
        <v>5000000</v>
      </c>
      <c r="M39" s="593">
        <v>5000000</v>
      </c>
      <c r="N39" s="587" t="s">
        <v>51</v>
      </c>
      <c r="O39" s="587" t="s">
        <v>36</v>
      </c>
      <c r="P39" s="587" t="s">
        <v>320</v>
      </c>
      <c r="Q39" s="80"/>
      <c r="R39" s="608"/>
      <c r="S39" s="595"/>
      <c r="T39" s="595"/>
      <c r="U39" s="595"/>
      <c r="V39" s="595"/>
      <c r="W39" s="595"/>
      <c r="X39" s="595"/>
      <c r="Y39" s="595"/>
      <c r="Z39" s="595"/>
      <c r="AA39" s="595"/>
      <c r="AB39" s="595"/>
      <c r="AC39" s="595"/>
      <c r="AD39" s="595"/>
      <c r="AE39" s="595"/>
      <c r="AF39" s="595"/>
      <c r="AG39" s="595"/>
      <c r="AH39" s="595"/>
      <c r="AI39" s="595"/>
      <c r="AJ39" s="595"/>
      <c r="AK39" s="595"/>
      <c r="AL39" s="595"/>
      <c r="AM39" s="595"/>
    </row>
    <row r="40" spans="1:39" ht="92.1" hidden="1" x14ac:dyDescent="0.35">
      <c r="A40" s="586">
        <f t="shared" si="2"/>
        <v>21</v>
      </c>
      <c r="B40" s="587" t="s">
        <v>264</v>
      </c>
      <c r="C40" s="588">
        <v>84131512</v>
      </c>
      <c r="D40" s="589" t="s">
        <v>183</v>
      </c>
      <c r="E40" s="587" t="s">
        <v>48</v>
      </c>
      <c r="F40" s="587">
        <v>1</v>
      </c>
      <c r="G40" s="590" t="s">
        <v>81</v>
      </c>
      <c r="H40" s="591">
        <v>12</v>
      </c>
      <c r="I40" s="587" t="s">
        <v>55</v>
      </c>
      <c r="J40" s="587" t="s">
        <v>35</v>
      </c>
      <c r="K40" s="587" t="s">
        <v>39</v>
      </c>
      <c r="L40" s="592">
        <v>10000000</v>
      </c>
      <c r="M40" s="593">
        <v>10000000</v>
      </c>
      <c r="N40" s="587" t="s">
        <v>51</v>
      </c>
      <c r="O40" s="587" t="s">
        <v>36</v>
      </c>
      <c r="P40" s="587" t="s">
        <v>320</v>
      </c>
      <c r="Q40" s="80"/>
      <c r="R40" s="608"/>
      <c r="S40" s="595"/>
      <c r="T40" s="595"/>
      <c r="U40" s="595"/>
      <c r="V40" s="595"/>
      <c r="W40" s="595"/>
      <c r="X40" s="595"/>
      <c r="Y40" s="595"/>
      <c r="Z40" s="595"/>
      <c r="AA40" s="595"/>
      <c r="AB40" s="595"/>
      <c r="AC40" s="595"/>
      <c r="AD40" s="595"/>
      <c r="AE40" s="595"/>
      <c r="AF40" s="595"/>
      <c r="AG40" s="595"/>
      <c r="AH40" s="595"/>
      <c r="AI40" s="595"/>
      <c r="AJ40" s="595"/>
      <c r="AK40" s="595"/>
      <c r="AL40" s="595"/>
      <c r="AM40" s="595"/>
    </row>
    <row r="41" spans="1:39" ht="92.1" hidden="1" x14ac:dyDescent="0.35">
      <c r="A41" s="586">
        <f t="shared" si="2"/>
        <v>22</v>
      </c>
      <c r="B41" s="587" t="s">
        <v>316</v>
      </c>
      <c r="C41" s="588" t="s">
        <v>310</v>
      </c>
      <c r="D41" s="612" t="s">
        <v>440</v>
      </c>
      <c r="E41" s="587" t="s">
        <v>48</v>
      </c>
      <c r="F41" s="587">
        <v>1</v>
      </c>
      <c r="G41" s="590" t="s">
        <v>78</v>
      </c>
      <c r="H41" s="591" t="s">
        <v>157</v>
      </c>
      <c r="I41" s="587" t="s">
        <v>441</v>
      </c>
      <c r="J41" s="587" t="s">
        <v>35</v>
      </c>
      <c r="K41" s="587" t="s">
        <v>46</v>
      </c>
      <c r="L41" s="592">
        <v>125000000</v>
      </c>
      <c r="M41" s="593">
        <v>125000000</v>
      </c>
      <c r="N41" s="587" t="s">
        <v>51</v>
      </c>
      <c r="O41" s="587" t="s">
        <v>36</v>
      </c>
      <c r="P41" s="587" t="s">
        <v>320</v>
      </c>
      <c r="Q41" s="80"/>
      <c r="R41" s="608"/>
      <c r="S41" s="595"/>
      <c r="T41" s="595"/>
      <c r="U41" s="595"/>
      <c r="V41" s="595"/>
      <c r="W41" s="595"/>
      <c r="X41" s="595"/>
      <c r="Y41" s="595"/>
      <c r="Z41" s="595"/>
      <c r="AA41" s="595"/>
      <c r="AB41" s="595"/>
      <c r="AC41" s="595"/>
      <c r="AD41" s="595"/>
      <c r="AE41" s="595"/>
      <c r="AF41" s="595"/>
      <c r="AG41" s="595"/>
      <c r="AH41" s="595"/>
      <c r="AI41" s="595"/>
      <c r="AJ41" s="595"/>
      <c r="AK41" s="595"/>
      <c r="AL41" s="595"/>
      <c r="AM41" s="595"/>
    </row>
    <row r="42" spans="1:39" ht="92.1" hidden="1" x14ac:dyDescent="0.35">
      <c r="A42" s="586">
        <f t="shared" si="2"/>
        <v>23</v>
      </c>
      <c r="B42" s="587" t="s">
        <v>264</v>
      </c>
      <c r="C42" s="588">
        <v>44101501</v>
      </c>
      <c r="D42" s="589" t="s">
        <v>462</v>
      </c>
      <c r="E42" s="587" t="s">
        <v>48</v>
      </c>
      <c r="F42" s="587">
        <v>1</v>
      </c>
      <c r="G42" s="590" t="s">
        <v>78</v>
      </c>
      <c r="H42" s="591">
        <v>2</v>
      </c>
      <c r="I42" s="587" t="s">
        <v>55</v>
      </c>
      <c r="J42" s="587" t="s">
        <v>35</v>
      </c>
      <c r="K42" s="587" t="s">
        <v>195</v>
      </c>
      <c r="L42" s="592">
        <v>20000000</v>
      </c>
      <c r="M42" s="592">
        <v>20000000</v>
      </c>
      <c r="N42" s="587" t="s">
        <v>51</v>
      </c>
      <c r="O42" s="587" t="s">
        <v>36</v>
      </c>
      <c r="P42" s="587" t="s">
        <v>320</v>
      </c>
      <c r="Q42" s="80"/>
      <c r="R42" s="608"/>
      <c r="S42" s="595"/>
      <c r="T42" s="595"/>
      <c r="U42" s="595"/>
      <c r="V42" s="595"/>
      <c r="W42" s="595"/>
      <c r="X42" s="595"/>
      <c r="Y42" s="595"/>
      <c r="Z42" s="595"/>
      <c r="AA42" s="595"/>
      <c r="AB42" s="595"/>
      <c r="AC42" s="595"/>
      <c r="AD42" s="595"/>
      <c r="AE42" s="595"/>
      <c r="AF42" s="595"/>
      <c r="AG42" s="595"/>
      <c r="AH42" s="595"/>
      <c r="AI42" s="595"/>
      <c r="AJ42" s="595"/>
      <c r="AK42" s="595"/>
      <c r="AL42" s="595"/>
      <c r="AM42" s="595"/>
    </row>
    <row r="43" spans="1:39" ht="121.15" hidden="1" customHeight="1" x14ac:dyDescent="0.35">
      <c r="A43" s="586">
        <f t="shared" si="2"/>
        <v>24</v>
      </c>
      <c r="B43" s="587" t="s">
        <v>316</v>
      </c>
      <c r="C43" s="588">
        <v>78180000</v>
      </c>
      <c r="D43" s="589" t="s">
        <v>457</v>
      </c>
      <c r="E43" s="587" t="s">
        <v>48</v>
      </c>
      <c r="F43" s="587">
        <v>1</v>
      </c>
      <c r="G43" s="590" t="s">
        <v>80</v>
      </c>
      <c r="H43" s="591" t="s">
        <v>458</v>
      </c>
      <c r="I43" s="587" t="s">
        <v>441</v>
      </c>
      <c r="J43" s="587" t="s">
        <v>35</v>
      </c>
      <c r="K43" s="587" t="s">
        <v>459</v>
      </c>
      <c r="L43" s="592">
        <v>140000000</v>
      </c>
      <c r="M43" s="593">
        <v>20000000</v>
      </c>
      <c r="N43" s="587" t="s">
        <v>49</v>
      </c>
      <c r="O43" s="587" t="s">
        <v>445</v>
      </c>
      <c r="P43" s="587" t="s">
        <v>320</v>
      </c>
      <c r="Q43" s="80"/>
      <c r="R43" s="608"/>
      <c r="S43" s="595"/>
      <c r="T43" s="595"/>
      <c r="U43" s="595"/>
      <c r="V43" s="595"/>
      <c r="W43" s="595"/>
      <c r="X43" s="595"/>
      <c r="Y43" s="595"/>
      <c r="Z43" s="595"/>
      <c r="AA43" s="595"/>
      <c r="AB43" s="595"/>
      <c r="AC43" s="595"/>
      <c r="AD43" s="595"/>
      <c r="AE43" s="595"/>
      <c r="AF43" s="595"/>
      <c r="AG43" s="595"/>
      <c r="AH43" s="595"/>
      <c r="AI43" s="595"/>
      <c r="AJ43" s="595"/>
      <c r="AK43" s="595"/>
      <c r="AL43" s="595"/>
      <c r="AM43" s="595"/>
    </row>
    <row r="44" spans="1:39" ht="92.1" hidden="1" x14ac:dyDescent="0.35">
      <c r="A44" s="586">
        <f t="shared" si="2"/>
        <v>25</v>
      </c>
      <c r="B44" s="587" t="s">
        <v>316</v>
      </c>
      <c r="C44" s="588">
        <v>92101501</v>
      </c>
      <c r="D44" s="589" t="s">
        <v>460</v>
      </c>
      <c r="E44" s="587" t="s">
        <v>48</v>
      </c>
      <c r="F44" s="587">
        <v>1</v>
      </c>
      <c r="G44" s="590" t="s">
        <v>80</v>
      </c>
      <c r="H44" s="591" t="s">
        <v>458</v>
      </c>
      <c r="I44" s="587" t="s">
        <v>226</v>
      </c>
      <c r="J44" s="587" t="s">
        <v>35</v>
      </c>
      <c r="K44" s="587" t="s">
        <v>461</v>
      </c>
      <c r="L44" s="592">
        <v>646695000</v>
      </c>
      <c r="M44" s="593">
        <v>80526523</v>
      </c>
      <c r="N44" s="587" t="s">
        <v>49</v>
      </c>
      <c r="O44" s="587" t="s">
        <v>445</v>
      </c>
      <c r="P44" s="587" t="s">
        <v>320</v>
      </c>
      <c r="Q44" s="80"/>
      <c r="R44" s="608"/>
      <c r="S44" s="595"/>
      <c r="T44" s="595"/>
      <c r="U44" s="595"/>
      <c r="V44" s="595"/>
      <c r="W44" s="595"/>
      <c r="X44" s="595"/>
      <c r="Y44" s="595"/>
      <c r="Z44" s="595"/>
      <c r="AA44" s="595"/>
      <c r="AB44" s="595"/>
      <c r="AC44" s="595"/>
      <c r="AD44" s="595"/>
      <c r="AE44" s="595"/>
      <c r="AF44" s="595"/>
      <c r="AG44" s="595"/>
      <c r="AH44" s="595"/>
      <c r="AI44" s="595"/>
      <c r="AJ44" s="595"/>
      <c r="AK44" s="595"/>
      <c r="AL44" s="595"/>
      <c r="AM44" s="595"/>
    </row>
    <row r="45" spans="1:39" ht="92.1" hidden="1" x14ac:dyDescent="0.35">
      <c r="A45" s="586">
        <f t="shared" si="2"/>
        <v>26</v>
      </c>
      <c r="B45" s="587" t="s">
        <v>264</v>
      </c>
      <c r="C45" s="588">
        <v>44110000</v>
      </c>
      <c r="D45" s="589" t="s">
        <v>228</v>
      </c>
      <c r="E45" s="587" t="s">
        <v>48</v>
      </c>
      <c r="F45" s="587">
        <v>1</v>
      </c>
      <c r="G45" s="590" t="s">
        <v>78</v>
      </c>
      <c r="H45" s="591" t="s">
        <v>156</v>
      </c>
      <c r="I45" s="587" t="s">
        <v>55</v>
      </c>
      <c r="J45" s="587" t="s">
        <v>35</v>
      </c>
      <c r="K45" s="587" t="s">
        <v>41</v>
      </c>
      <c r="L45" s="592">
        <v>450000</v>
      </c>
      <c r="M45" s="593">
        <v>450000</v>
      </c>
      <c r="N45" s="587" t="s">
        <v>51</v>
      </c>
      <c r="O45" s="587" t="s">
        <v>36</v>
      </c>
      <c r="P45" s="587" t="s">
        <v>320</v>
      </c>
      <c r="Q45" s="80"/>
      <c r="R45" s="608"/>
      <c r="S45" s="595"/>
      <c r="T45" s="595"/>
      <c r="U45" s="595"/>
      <c r="V45" s="595"/>
      <c r="W45" s="595"/>
      <c r="X45" s="595"/>
      <c r="Y45" s="595"/>
      <c r="Z45" s="595"/>
      <c r="AA45" s="595"/>
      <c r="AB45" s="595"/>
      <c r="AC45" s="595"/>
      <c r="AD45" s="595"/>
      <c r="AE45" s="595"/>
      <c r="AF45" s="595"/>
      <c r="AG45" s="595"/>
      <c r="AH45" s="595"/>
      <c r="AI45" s="595"/>
      <c r="AJ45" s="595"/>
      <c r="AK45" s="595"/>
      <c r="AL45" s="595"/>
      <c r="AM45" s="595"/>
    </row>
    <row r="46" spans="1:39" ht="92.1" hidden="1" x14ac:dyDescent="0.35">
      <c r="A46" s="586">
        <f t="shared" si="2"/>
        <v>27</v>
      </c>
      <c r="B46" s="587" t="s">
        <v>264</v>
      </c>
      <c r="C46" s="588">
        <v>81111820</v>
      </c>
      <c r="D46" s="589" t="s">
        <v>585</v>
      </c>
      <c r="E46" s="587" t="s">
        <v>48</v>
      </c>
      <c r="F46" s="587">
        <v>1</v>
      </c>
      <c r="G46" s="590" t="s">
        <v>73</v>
      </c>
      <c r="H46" s="591">
        <v>12</v>
      </c>
      <c r="I46" s="587" t="s">
        <v>61</v>
      </c>
      <c r="J46" s="587" t="s">
        <v>35</v>
      </c>
      <c r="K46" s="587" t="s">
        <v>37</v>
      </c>
      <c r="L46" s="592">
        <v>13014073</v>
      </c>
      <c r="M46" s="593">
        <v>13014073</v>
      </c>
      <c r="N46" s="587" t="s">
        <v>51</v>
      </c>
      <c r="O46" s="587" t="s">
        <v>36</v>
      </c>
      <c r="P46" s="587" t="s">
        <v>320</v>
      </c>
      <c r="Q46" s="80"/>
      <c r="R46" s="608"/>
      <c r="S46" s="595"/>
      <c r="T46" s="595"/>
      <c r="U46" s="595"/>
      <c r="V46" s="595"/>
      <c r="W46" s="595"/>
      <c r="X46" s="595"/>
      <c r="Y46" s="595"/>
      <c r="Z46" s="595"/>
      <c r="AA46" s="595"/>
      <c r="AB46" s="595"/>
      <c r="AC46" s="595"/>
      <c r="AD46" s="595"/>
      <c r="AE46" s="595"/>
      <c r="AF46" s="595"/>
      <c r="AG46" s="595"/>
      <c r="AH46" s="595"/>
      <c r="AI46" s="595"/>
      <c r="AJ46" s="595"/>
      <c r="AK46" s="595"/>
      <c r="AL46" s="595"/>
      <c r="AM46" s="595"/>
    </row>
    <row r="47" spans="1:39" ht="69" hidden="1" x14ac:dyDescent="0.35">
      <c r="A47" s="586">
        <f t="shared" si="2"/>
        <v>28</v>
      </c>
      <c r="B47" s="587" t="s">
        <v>490</v>
      </c>
      <c r="C47" s="588">
        <v>43211701</v>
      </c>
      <c r="D47" s="589" t="s">
        <v>491</v>
      </c>
      <c r="E47" s="587" t="s">
        <v>48</v>
      </c>
      <c r="F47" s="587">
        <v>1</v>
      </c>
      <c r="G47" s="590" t="s">
        <v>75</v>
      </c>
      <c r="H47" s="591" t="s">
        <v>156</v>
      </c>
      <c r="I47" s="587" t="s">
        <v>53</v>
      </c>
      <c r="J47" s="587" t="s">
        <v>35</v>
      </c>
      <c r="K47" s="587" t="s">
        <v>195</v>
      </c>
      <c r="L47" s="592">
        <v>20000000</v>
      </c>
      <c r="M47" s="593">
        <v>20000000</v>
      </c>
      <c r="N47" s="587" t="s">
        <v>51</v>
      </c>
      <c r="O47" s="587" t="s">
        <v>36</v>
      </c>
      <c r="P47" s="587" t="s">
        <v>308</v>
      </c>
      <c r="Q47" s="80"/>
      <c r="R47" s="609"/>
      <c r="S47" s="595"/>
      <c r="T47" s="595"/>
      <c r="U47" s="595"/>
      <c r="V47" s="595"/>
      <c r="W47" s="595"/>
      <c r="X47" s="595"/>
      <c r="Y47" s="595"/>
      <c r="Z47" s="595"/>
      <c r="AA47" s="595"/>
      <c r="AB47" s="595"/>
      <c r="AC47" s="595"/>
      <c r="AD47" s="595"/>
      <c r="AE47" s="595"/>
      <c r="AF47" s="595"/>
      <c r="AG47" s="595"/>
      <c r="AH47" s="595"/>
      <c r="AI47" s="595"/>
      <c r="AJ47" s="595"/>
      <c r="AK47" s="595"/>
      <c r="AL47" s="595"/>
      <c r="AM47" s="595"/>
    </row>
    <row r="48" spans="1:39" ht="92.1" hidden="1" x14ac:dyDescent="0.35">
      <c r="A48" s="586">
        <f t="shared" si="2"/>
        <v>29</v>
      </c>
      <c r="B48" s="587" t="s">
        <v>264</v>
      </c>
      <c r="C48" s="588">
        <v>44101706</v>
      </c>
      <c r="D48" s="589" t="s">
        <v>463</v>
      </c>
      <c r="E48" s="587" t="s">
        <v>48</v>
      </c>
      <c r="F48" s="587">
        <v>1</v>
      </c>
      <c r="G48" s="590" t="s">
        <v>75</v>
      </c>
      <c r="H48" s="591">
        <v>2</v>
      </c>
      <c r="I48" s="587" t="s">
        <v>53</v>
      </c>
      <c r="J48" s="587" t="s">
        <v>35</v>
      </c>
      <c r="K48" s="587" t="s">
        <v>44</v>
      </c>
      <c r="L48" s="592">
        <v>3000000</v>
      </c>
      <c r="M48" s="592">
        <v>3000000</v>
      </c>
      <c r="N48" s="587" t="s">
        <v>51</v>
      </c>
      <c r="O48" s="587" t="s">
        <v>36</v>
      </c>
      <c r="P48" s="587" t="s">
        <v>320</v>
      </c>
      <c r="Q48" s="80"/>
      <c r="R48" s="608"/>
      <c r="S48" s="595"/>
      <c r="T48" s="595"/>
      <c r="U48" s="595"/>
      <c r="V48" s="595"/>
      <c r="W48" s="595"/>
      <c r="X48" s="595"/>
      <c r="Y48" s="595"/>
      <c r="Z48" s="595"/>
      <c r="AA48" s="595"/>
      <c r="AB48" s="595"/>
      <c r="AC48" s="595"/>
      <c r="AD48" s="595"/>
      <c r="AE48" s="595"/>
      <c r="AF48" s="595"/>
      <c r="AG48" s="595"/>
      <c r="AH48" s="595"/>
      <c r="AI48" s="595"/>
      <c r="AJ48" s="595"/>
      <c r="AK48" s="595"/>
      <c r="AL48" s="595"/>
      <c r="AM48" s="595"/>
    </row>
    <row r="49" spans="1:39" ht="92.1" hidden="1" x14ac:dyDescent="0.35">
      <c r="A49" s="586">
        <f t="shared" si="2"/>
        <v>30</v>
      </c>
      <c r="B49" s="587" t="s">
        <v>545</v>
      </c>
      <c r="C49" s="588">
        <v>204415</v>
      </c>
      <c r="D49" s="589" t="s">
        <v>546</v>
      </c>
      <c r="E49" s="587" t="s">
        <v>48</v>
      </c>
      <c r="F49" s="587">
        <v>1</v>
      </c>
      <c r="G49" s="590" t="s">
        <v>80</v>
      </c>
      <c r="H49" s="591" t="s">
        <v>156</v>
      </c>
      <c r="I49" s="587" t="s">
        <v>173</v>
      </c>
      <c r="J49" s="587" t="s">
        <v>35</v>
      </c>
      <c r="K49" s="587" t="s">
        <v>195</v>
      </c>
      <c r="L49" s="592">
        <v>200000</v>
      </c>
      <c r="M49" s="593">
        <v>200000</v>
      </c>
      <c r="N49" s="587" t="s">
        <v>51</v>
      </c>
      <c r="O49" s="587" t="s">
        <v>36</v>
      </c>
      <c r="P49" s="587" t="s">
        <v>544</v>
      </c>
      <c r="Q49" s="80"/>
      <c r="R49" s="611"/>
      <c r="S49" s="595"/>
      <c r="T49" s="595"/>
      <c r="U49" s="595"/>
      <c r="V49" s="595"/>
      <c r="W49" s="595"/>
      <c r="X49" s="595"/>
      <c r="Y49" s="595"/>
      <c r="Z49" s="595"/>
      <c r="AA49" s="595"/>
      <c r="AB49" s="595"/>
      <c r="AC49" s="595"/>
      <c r="AD49" s="595"/>
      <c r="AE49" s="595"/>
      <c r="AF49" s="595"/>
      <c r="AG49" s="595"/>
      <c r="AH49" s="595"/>
      <c r="AI49" s="595"/>
      <c r="AJ49" s="595"/>
      <c r="AK49" s="595"/>
      <c r="AL49" s="595"/>
      <c r="AM49" s="595"/>
    </row>
    <row r="50" spans="1:39" ht="92.1" hidden="1" x14ac:dyDescent="0.35">
      <c r="A50" s="586">
        <f t="shared" si="2"/>
        <v>31</v>
      </c>
      <c r="B50" s="587" t="s">
        <v>316</v>
      </c>
      <c r="C50" s="588">
        <v>72152302</v>
      </c>
      <c r="D50" s="589" t="s">
        <v>465</v>
      </c>
      <c r="E50" s="587" t="s">
        <v>59</v>
      </c>
      <c r="F50" s="587">
        <v>1</v>
      </c>
      <c r="G50" s="590" t="s">
        <v>80</v>
      </c>
      <c r="H50" s="591" t="s">
        <v>156</v>
      </c>
      <c r="I50" s="587" t="s">
        <v>55</v>
      </c>
      <c r="J50" s="587" t="s">
        <v>35</v>
      </c>
      <c r="K50" s="587" t="s">
        <v>37</v>
      </c>
      <c r="L50" s="592">
        <v>1400000</v>
      </c>
      <c r="M50" s="592">
        <v>1400000</v>
      </c>
      <c r="N50" s="587" t="s">
        <v>51</v>
      </c>
      <c r="O50" s="587" t="s">
        <v>36</v>
      </c>
      <c r="P50" s="587" t="s">
        <v>320</v>
      </c>
      <c r="Q50" s="80"/>
      <c r="R50" s="608"/>
      <c r="S50" s="595"/>
      <c r="T50" s="595"/>
      <c r="U50" s="595"/>
      <c r="V50" s="595"/>
      <c r="W50" s="595"/>
      <c r="X50" s="595"/>
      <c r="Y50" s="595"/>
      <c r="Z50" s="595"/>
      <c r="AA50" s="595"/>
      <c r="AB50" s="595"/>
      <c r="AC50" s="595"/>
      <c r="AD50" s="595"/>
      <c r="AE50" s="595"/>
      <c r="AF50" s="595"/>
      <c r="AG50" s="595"/>
      <c r="AH50" s="595"/>
      <c r="AI50" s="595"/>
      <c r="AJ50" s="595"/>
      <c r="AK50" s="595"/>
      <c r="AL50" s="595"/>
      <c r="AM50" s="595"/>
    </row>
    <row r="51" spans="1:39" ht="92.1" hidden="1" x14ac:dyDescent="0.35">
      <c r="A51" s="586">
        <f t="shared" si="2"/>
        <v>32</v>
      </c>
      <c r="B51" s="587" t="s">
        <v>316</v>
      </c>
      <c r="C51" s="588">
        <v>56120000</v>
      </c>
      <c r="D51" s="589" t="s">
        <v>297</v>
      </c>
      <c r="E51" s="587" t="s">
        <v>48</v>
      </c>
      <c r="F51" s="587">
        <v>1</v>
      </c>
      <c r="G51" s="590" t="s">
        <v>81</v>
      </c>
      <c r="H51" s="591" t="s">
        <v>157</v>
      </c>
      <c r="I51" s="587" t="s">
        <v>55</v>
      </c>
      <c r="J51" s="587" t="s">
        <v>35</v>
      </c>
      <c r="K51" s="587" t="s">
        <v>296</v>
      </c>
      <c r="L51" s="592">
        <v>20000000</v>
      </c>
      <c r="M51" s="593">
        <v>20000000</v>
      </c>
      <c r="N51" s="587" t="s">
        <v>51</v>
      </c>
      <c r="O51" s="587" t="s">
        <v>36</v>
      </c>
      <c r="P51" s="587" t="s">
        <v>320</v>
      </c>
      <c r="Q51" s="80"/>
      <c r="R51" s="608"/>
      <c r="S51" s="595"/>
      <c r="T51" s="595"/>
      <c r="U51" s="595"/>
      <c r="V51" s="595"/>
      <c r="W51" s="595"/>
      <c r="X51" s="595"/>
      <c r="Y51" s="595"/>
      <c r="Z51" s="595"/>
      <c r="AA51" s="595"/>
      <c r="AB51" s="595"/>
      <c r="AC51" s="595"/>
      <c r="AD51" s="595"/>
      <c r="AE51" s="595"/>
      <c r="AF51" s="595"/>
      <c r="AG51" s="595"/>
      <c r="AH51" s="595"/>
      <c r="AI51" s="595"/>
      <c r="AJ51" s="595"/>
      <c r="AK51" s="595"/>
      <c r="AL51" s="595"/>
      <c r="AM51" s="595"/>
    </row>
    <row r="52" spans="1:39" ht="92.1" hidden="1" x14ac:dyDescent="0.35">
      <c r="A52" s="586">
        <f t="shared" si="2"/>
        <v>33</v>
      </c>
      <c r="B52" s="587" t="s">
        <v>316</v>
      </c>
      <c r="C52" s="588" t="s">
        <v>205</v>
      </c>
      <c r="D52" s="612" t="s">
        <v>442</v>
      </c>
      <c r="E52" s="587" t="s">
        <v>48</v>
      </c>
      <c r="F52" s="587">
        <v>1</v>
      </c>
      <c r="G52" s="590" t="s">
        <v>75</v>
      </c>
      <c r="H52" s="591" t="s">
        <v>157</v>
      </c>
      <c r="I52" s="587" t="s">
        <v>226</v>
      </c>
      <c r="J52" s="587" t="s">
        <v>35</v>
      </c>
      <c r="K52" s="587" t="s">
        <v>46</v>
      </c>
      <c r="L52" s="592">
        <v>220000000</v>
      </c>
      <c r="M52" s="593">
        <v>220000000</v>
      </c>
      <c r="N52" s="587" t="s">
        <v>51</v>
      </c>
      <c r="O52" s="587" t="s">
        <v>36</v>
      </c>
      <c r="P52" s="587" t="s">
        <v>320</v>
      </c>
      <c r="Q52" s="80"/>
      <c r="R52" s="608"/>
      <c r="S52" s="595"/>
      <c r="T52" s="595"/>
      <c r="U52" s="595"/>
      <c r="V52" s="595"/>
      <c r="W52" s="595"/>
      <c r="X52" s="595"/>
      <c r="Y52" s="595"/>
      <c r="Z52" s="595"/>
      <c r="AA52" s="595"/>
      <c r="AB52" s="595"/>
      <c r="AC52" s="595"/>
      <c r="AD52" s="595"/>
      <c r="AE52" s="595"/>
      <c r="AF52" s="595"/>
      <c r="AG52" s="595"/>
      <c r="AH52" s="595"/>
      <c r="AI52" s="595"/>
      <c r="AJ52" s="595"/>
      <c r="AK52" s="595"/>
      <c r="AL52" s="595"/>
      <c r="AM52" s="595"/>
    </row>
    <row r="53" spans="1:39" ht="119.45" hidden="1" customHeight="1" x14ac:dyDescent="0.35">
      <c r="A53" s="586">
        <f t="shared" si="2"/>
        <v>34</v>
      </c>
      <c r="B53" s="587" t="s">
        <v>316</v>
      </c>
      <c r="C53" s="588" t="s">
        <v>205</v>
      </c>
      <c r="D53" s="612" t="s">
        <v>455</v>
      </c>
      <c r="E53" s="587" t="s">
        <v>48</v>
      </c>
      <c r="F53" s="587">
        <v>1</v>
      </c>
      <c r="G53" s="590" t="s">
        <v>76</v>
      </c>
      <c r="H53" s="591" t="s">
        <v>157</v>
      </c>
      <c r="I53" s="587" t="s">
        <v>55</v>
      </c>
      <c r="J53" s="587" t="s">
        <v>35</v>
      </c>
      <c r="K53" s="587" t="s">
        <v>46</v>
      </c>
      <c r="L53" s="592">
        <v>21000000</v>
      </c>
      <c r="M53" s="593">
        <v>21000000</v>
      </c>
      <c r="N53" s="587" t="s">
        <v>51</v>
      </c>
      <c r="O53" s="587" t="s">
        <v>36</v>
      </c>
      <c r="P53" s="587" t="s">
        <v>320</v>
      </c>
      <c r="Q53" s="80"/>
      <c r="R53" s="608"/>
      <c r="S53" s="595"/>
      <c r="T53" s="595"/>
      <c r="U53" s="595"/>
      <c r="V53" s="595"/>
      <c r="W53" s="595"/>
      <c r="X53" s="595"/>
      <c r="Y53" s="595"/>
      <c r="Z53" s="595"/>
      <c r="AA53" s="595"/>
      <c r="AB53" s="595"/>
      <c r="AC53" s="595"/>
      <c r="AD53" s="595"/>
      <c r="AE53" s="595"/>
      <c r="AF53" s="595"/>
      <c r="AG53" s="595"/>
      <c r="AH53" s="595"/>
      <c r="AI53" s="595"/>
      <c r="AJ53" s="595"/>
      <c r="AK53" s="595"/>
      <c r="AL53" s="595"/>
      <c r="AM53" s="595"/>
    </row>
    <row r="54" spans="1:39" ht="92.1" hidden="1" x14ac:dyDescent="0.35">
      <c r="A54" s="586">
        <f t="shared" si="2"/>
        <v>35</v>
      </c>
      <c r="B54" s="587" t="s">
        <v>316</v>
      </c>
      <c r="C54" s="588" t="s">
        <v>468</v>
      </c>
      <c r="D54" s="589" t="s">
        <v>469</v>
      </c>
      <c r="E54" s="587" t="s">
        <v>48</v>
      </c>
      <c r="F54" s="587">
        <v>1</v>
      </c>
      <c r="G54" s="590" t="s">
        <v>80</v>
      </c>
      <c r="H54" s="591" t="s">
        <v>250</v>
      </c>
      <c r="I54" s="587" t="s">
        <v>55</v>
      </c>
      <c r="J54" s="587" t="s">
        <v>35</v>
      </c>
      <c r="K54" s="587" t="s">
        <v>37</v>
      </c>
      <c r="L54" s="592">
        <v>5000000</v>
      </c>
      <c r="M54" s="593">
        <v>5000000</v>
      </c>
      <c r="N54" s="587" t="s">
        <v>51</v>
      </c>
      <c r="O54" s="587" t="s">
        <v>36</v>
      </c>
      <c r="P54" s="587" t="s">
        <v>320</v>
      </c>
      <c r="Q54" s="80"/>
      <c r="R54" s="608"/>
      <c r="S54" s="595"/>
      <c r="T54" s="595"/>
      <c r="U54" s="595"/>
      <c r="V54" s="595"/>
      <c r="W54" s="595"/>
      <c r="X54" s="595"/>
      <c r="Y54" s="595"/>
      <c r="Z54" s="595"/>
      <c r="AA54" s="595"/>
      <c r="AB54" s="595"/>
      <c r="AC54" s="595"/>
      <c r="AD54" s="595"/>
      <c r="AE54" s="595"/>
      <c r="AF54" s="595"/>
      <c r="AG54" s="595"/>
      <c r="AH54" s="595"/>
      <c r="AI54" s="595"/>
      <c r="AJ54" s="595"/>
      <c r="AK54" s="595"/>
      <c r="AL54" s="595"/>
      <c r="AM54" s="595"/>
    </row>
    <row r="55" spans="1:39" ht="114.95" hidden="1" x14ac:dyDescent="0.35">
      <c r="A55" s="586">
        <f t="shared" si="2"/>
        <v>36</v>
      </c>
      <c r="B55" s="587" t="s">
        <v>316</v>
      </c>
      <c r="C55" s="588" t="s">
        <v>317</v>
      </c>
      <c r="D55" s="589" t="s">
        <v>318</v>
      </c>
      <c r="E55" s="587" t="s">
        <v>48</v>
      </c>
      <c r="F55" s="587">
        <v>1</v>
      </c>
      <c r="G55" s="590" t="s">
        <v>76</v>
      </c>
      <c r="H55" s="591" t="s">
        <v>156</v>
      </c>
      <c r="I55" s="587" t="s">
        <v>53</v>
      </c>
      <c r="J55" s="587" t="s">
        <v>35</v>
      </c>
      <c r="K55" s="587" t="s">
        <v>41</v>
      </c>
      <c r="L55" s="592">
        <v>1500000</v>
      </c>
      <c r="M55" s="593">
        <v>1500000</v>
      </c>
      <c r="N55" s="587" t="s">
        <v>51</v>
      </c>
      <c r="O55" s="587" t="s">
        <v>36</v>
      </c>
      <c r="P55" s="587" t="s">
        <v>319</v>
      </c>
      <c r="Q55" s="80"/>
      <c r="R55" s="608"/>
      <c r="S55" s="595"/>
      <c r="T55" s="595"/>
      <c r="U55" s="595"/>
      <c r="V55" s="595"/>
      <c r="W55" s="595"/>
      <c r="X55" s="595"/>
      <c r="Y55" s="595"/>
      <c r="Z55" s="595"/>
      <c r="AA55" s="595"/>
      <c r="AB55" s="595"/>
      <c r="AC55" s="595"/>
      <c r="AD55" s="595"/>
      <c r="AE55" s="595"/>
      <c r="AF55" s="595"/>
      <c r="AG55" s="595"/>
      <c r="AH55" s="595"/>
      <c r="AI55" s="595"/>
      <c r="AJ55" s="595"/>
      <c r="AK55" s="595"/>
      <c r="AL55" s="595"/>
      <c r="AM55" s="595"/>
    </row>
    <row r="56" spans="1:39" ht="92.1" hidden="1" x14ac:dyDescent="0.35">
      <c r="A56" s="586">
        <f t="shared" si="2"/>
        <v>37</v>
      </c>
      <c r="B56" s="587" t="s">
        <v>316</v>
      </c>
      <c r="C56" s="588" t="s">
        <v>71</v>
      </c>
      <c r="D56" s="589" t="s">
        <v>227</v>
      </c>
      <c r="E56" s="587" t="s">
        <v>48</v>
      </c>
      <c r="F56" s="587">
        <v>1</v>
      </c>
      <c r="G56" s="590" t="s">
        <v>73</v>
      </c>
      <c r="H56" s="591" t="s">
        <v>470</v>
      </c>
      <c r="I56" s="587" t="s">
        <v>50</v>
      </c>
      <c r="J56" s="587" t="s">
        <v>35</v>
      </c>
      <c r="K56" s="587" t="s">
        <v>203</v>
      </c>
      <c r="L56" s="592">
        <v>35000000</v>
      </c>
      <c r="M56" s="593">
        <v>35000000</v>
      </c>
      <c r="N56" s="587" t="s">
        <v>51</v>
      </c>
      <c r="O56" s="587" t="s">
        <v>36</v>
      </c>
      <c r="P56" s="587" t="s">
        <v>320</v>
      </c>
      <c r="Q56" s="80"/>
      <c r="R56" s="609"/>
      <c r="S56" s="595"/>
      <c r="T56" s="595"/>
      <c r="U56" s="595"/>
      <c r="V56" s="595"/>
      <c r="W56" s="595"/>
      <c r="X56" s="595"/>
      <c r="Y56" s="595"/>
      <c r="Z56" s="595"/>
      <c r="AA56" s="595"/>
      <c r="AB56" s="595"/>
      <c r="AC56" s="595"/>
      <c r="AD56" s="595"/>
      <c r="AE56" s="595"/>
      <c r="AF56" s="595"/>
      <c r="AG56" s="595"/>
      <c r="AH56" s="595"/>
      <c r="AI56" s="595"/>
      <c r="AJ56" s="595"/>
      <c r="AK56" s="595"/>
      <c r="AL56" s="595"/>
      <c r="AM56" s="595"/>
    </row>
    <row r="57" spans="1:39" ht="92.1" hidden="1" x14ac:dyDescent="0.35">
      <c r="A57" s="586">
        <f t="shared" si="2"/>
        <v>38</v>
      </c>
      <c r="B57" s="587" t="s">
        <v>316</v>
      </c>
      <c r="C57" s="588">
        <v>80101706</v>
      </c>
      <c r="D57" s="612" t="s">
        <v>471</v>
      </c>
      <c r="E57" s="587" t="s">
        <v>48</v>
      </c>
      <c r="F57" s="587">
        <v>1</v>
      </c>
      <c r="G57" s="590" t="s">
        <v>73</v>
      </c>
      <c r="H57" s="591" t="s">
        <v>194</v>
      </c>
      <c r="I57" s="587" t="s">
        <v>61</v>
      </c>
      <c r="J57" s="587" t="s">
        <v>35</v>
      </c>
      <c r="K57" s="587" t="s">
        <v>439</v>
      </c>
      <c r="L57" s="592">
        <v>1600000</v>
      </c>
      <c r="M57" s="593">
        <v>1600000</v>
      </c>
      <c r="N57" s="587" t="s">
        <v>51</v>
      </c>
      <c r="O57" s="587" t="s">
        <v>36</v>
      </c>
      <c r="P57" s="587" t="s">
        <v>320</v>
      </c>
      <c r="Q57" s="80"/>
      <c r="R57" s="608"/>
      <c r="S57" s="595"/>
      <c r="T57" s="595"/>
      <c r="U57" s="595"/>
      <c r="V57" s="595"/>
      <c r="W57" s="595"/>
      <c r="X57" s="595"/>
      <c r="Y57" s="595"/>
      <c r="Z57" s="595"/>
      <c r="AA57" s="595"/>
      <c r="AB57" s="595"/>
      <c r="AC57" s="595"/>
      <c r="AD57" s="595"/>
      <c r="AE57" s="595"/>
      <c r="AF57" s="595"/>
      <c r="AG57" s="595"/>
      <c r="AH57" s="595"/>
      <c r="AI57" s="595"/>
      <c r="AJ57" s="595"/>
      <c r="AK57" s="595"/>
      <c r="AL57" s="595"/>
      <c r="AM57" s="595"/>
    </row>
    <row r="58" spans="1:39" ht="69" hidden="1" x14ac:dyDescent="0.35">
      <c r="A58" s="586">
        <f t="shared" ref="A58:A89" si="3">SUM(A57+1)</f>
        <v>39</v>
      </c>
      <c r="B58" s="587" t="s">
        <v>265</v>
      </c>
      <c r="C58" s="588">
        <v>80101706</v>
      </c>
      <c r="D58" s="589" t="s">
        <v>501</v>
      </c>
      <c r="E58" s="587" t="s">
        <v>48</v>
      </c>
      <c r="F58" s="587">
        <v>1</v>
      </c>
      <c r="G58" s="590" t="s">
        <v>73</v>
      </c>
      <c r="H58" s="591">
        <v>5</v>
      </c>
      <c r="I58" s="587" t="s">
        <v>61</v>
      </c>
      <c r="J58" s="587" t="s">
        <v>66</v>
      </c>
      <c r="K58" s="587" t="s">
        <v>473</v>
      </c>
      <c r="L58" s="592">
        <v>22500000</v>
      </c>
      <c r="M58" s="593">
        <v>22500000</v>
      </c>
      <c r="N58" s="587" t="s">
        <v>51</v>
      </c>
      <c r="O58" s="587" t="s">
        <v>36</v>
      </c>
      <c r="P58" s="587" t="s">
        <v>502</v>
      </c>
      <c r="Q58" s="80"/>
      <c r="R58" s="610" t="s">
        <v>554</v>
      </c>
      <c r="S58" s="595"/>
      <c r="T58" s="595"/>
      <c r="U58" s="595"/>
      <c r="V58" s="595"/>
      <c r="W58" s="595"/>
      <c r="X58" s="595"/>
      <c r="Y58" s="595"/>
      <c r="Z58" s="595"/>
      <c r="AA58" s="595"/>
      <c r="AB58" s="595"/>
      <c r="AC58" s="595"/>
      <c r="AD58" s="595"/>
      <c r="AE58" s="595"/>
      <c r="AF58" s="595"/>
      <c r="AG58" s="595"/>
      <c r="AH58" s="595"/>
      <c r="AI58" s="595"/>
      <c r="AJ58" s="595"/>
      <c r="AK58" s="595"/>
      <c r="AL58" s="595"/>
      <c r="AM58" s="595"/>
    </row>
    <row r="59" spans="1:39" ht="111" hidden="1" customHeight="1" x14ac:dyDescent="0.35">
      <c r="A59" s="586">
        <f t="shared" si="3"/>
        <v>40</v>
      </c>
      <c r="B59" s="587" t="s">
        <v>474</v>
      </c>
      <c r="C59" s="588" t="s">
        <v>252</v>
      </c>
      <c r="D59" s="589" t="s">
        <v>251</v>
      </c>
      <c r="E59" s="587" t="s">
        <v>48</v>
      </c>
      <c r="F59" s="587">
        <v>1</v>
      </c>
      <c r="G59" s="590" t="s">
        <v>80</v>
      </c>
      <c r="H59" s="591" t="s">
        <v>194</v>
      </c>
      <c r="I59" s="587" t="s">
        <v>55</v>
      </c>
      <c r="J59" s="587" t="s">
        <v>35</v>
      </c>
      <c r="K59" s="587" t="s">
        <v>161</v>
      </c>
      <c r="L59" s="592">
        <v>10000000</v>
      </c>
      <c r="M59" s="593">
        <v>10000000</v>
      </c>
      <c r="N59" s="587" t="s">
        <v>51</v>
      </c>
      <c r="O59" s="587" t="s">
        <v>36</v>
      </c>
      <c r="P59" s="587" t="s">
        <v>475</v>
      </c>
      <c r="Q59" s="80"/>
      <c r="R59" s="608"/>
      <c r="S59" s="595"/>
      <c r="T59" s="595"/>
      <c r="U59" s="595"/>
      <c r="V59" s="595"/>
      <c r="W59" s="595"/>
      <c r="X59" s="595"/>
      <c r="Y59" s="595"/>
      <c r="Z59" s="595"/>
      <c r="AA59" s="595"/>
      <c r="AB59" s="595"/>
      <c r="AC59" s="595"/>
      <c r="AD59" s="595"/>
      <c r="AE59" s="595"/>
      <c r="AF59" s="595"/>
      <c r="AG59" s="595"/>
      <c r="AH59" s="595"/>
      <c r="AI59" s="595"/>
      <c r="AJ59" s="595"/>
      <c r="AK59" s="595"/>
      <c r="AL59" s="595"/>
      <c r="AM59" s="595"/>
    </row>
    <row r="60" spans="1:39" ht="138" hidden="1" x14ac:dyDescent="0.35">
      <c r="A60" s="586">
        <f t="shared" si="3"/>
        <v>41</v>
      </c>
      <c r="B60" s="587" t="s">
        <v>474</v>
      </c>
      <c r="C60" s="588">
        <v>78102200</v>
      </c>
      <c r="D60" s="589" t="s">
        <v>196</v>
      </c>
      <c r="E60" s="587" t="s">
        <v>48</v>
      </c>
      <c r="F60" s="587">
        <v>1</v>
      </c>
      <c r="G60" s="590" t="s">
        <v>79</v>
      </c>
      <c r="H60" s="591" t="s">
        <v>458</v>
      </c>
      <c r="I60" s="587" t="s">
        <v>61</v>
      </c>
      <c r="J60" s="587" t="s">
        <v>35</v>
      </c>
      <c r="K60" s="587" t="s">
        <v>58</v>
      </c>
      <c r="L60" s="592">
        <v>444017000</v>
      </c>
      <c r="M60" s="593">
        <v>10500000</v>
      </c>
      <c r="N60" s="587" t="s">
        <v>49</v>
      </c>
      <c r="O60" s="587" t="s">
        <v>445</v>
      </c>
      <c r="P60" s="587" t="s">
        <v>475</v>
      </c>
      <c r="Q60" s="80"/>
      <c r="R60" s="608"/>
      <c r="S60" s="595"/>
      <c r="T60" s="595"/>
      <c r="U60" s="595"/>
      <c r="V60" s="595"/>
      <c r="W60" s="595"/>
      <c r="X60" s="595"/>
      <c r="Y60" s="595"/>
      <c r="Z60" s="595"/>
      <c r="AA60" s="595"/>
      <c r="AB60" s="595"/>
      <c r="AC60" s="595"/>
      <c r="AD60" s="595"/>
      <c r="AE60" s="595"/>
      <c r="AF60" s="595"/>
      <c r="AG60" s="595"/>
      <c r="AH60" s="595"/>
      <c r="AI60" s="595"/>
      <c r="AJ60" s="595"/>
      <c r="AK60" s="595"/>
      <c r="AL60" s="595"/>
      <c r="AM60" s="595"/>
    </row>
    <row r="61" spans="1:39" ht="145.9" hidden="1" customHeight="1" x14ac:dyDescent="0.35">
      <c r="A61" s="586">
        <f t="shared" si="3"/>
        <v>42</v>
      </c>
      <c r="B61" s="587" t="s">
        <v>316</v>
      </c>
      <c r="C61" s="588" t="s">
        <v>310</v>
      </c>
      <c r="D61" s="589" t="s">
        <v>309</v>
      </c>
      <c r="E61" s="587" t="s">
        <v>48</v>
      </c>
      <c r="F61" s="587">
        <v>1</v>
      </c>
      <c r="G61" s="590" t="s">
        <v>75</v>
      </c>
      <c r="H61" s="591" t="s">
        <v>232</v>
      </c>
      <c r="I61" s="587" t="s">
        <v>305</v>
      </c>
      <c r="J61" s="587" t="s">
        <v>35</v>
      </c>
      <c r="K61" s="587" t="s">
        <v>46</v>
      </c>
      <c r="L61" s="592">
        <v>30000000</v>
      </c>
      <c r="M61" s="593">
        <v>30000000</v>
      </c>
      <c r="N61" s="587" t="s">
        <v>51</v>
      </c>
      <c r="O61" s="587" t="s">
        <v>36</v>
      </c>
      <c r="P61" s="587" t="s">
        <v>320</v>
      </c>
      <c r="Q61" s="80"/>
      <c r="R61" s="608"/>
      <c r="S61" s="595"/>
      <c r="T61" s="595"/>
      <c r="U61" s="595"/>
      <c r="V61" s="595"/>
      <c r="W61" s="595"/>
      <c r="X61" s="595"/>
      <c r="Y61" s="595"/>
      <c r="Z61" s="595"/>
      <c r="AA61" s="595"/>
      <c r="AB61" s="595"/>
      <c r="AC61" s="595"/>
      <c r="AD61" s="595"/>
      <c r="AE61" s="595"/>
      <c r="AF61" s="595"/>
      <c r="AG61" s="595"/>
      <c r="AH61" s="595"/>
      <c r="AI61" s="595"/>
      <c r="AJ61" s="595"/>
      <c r="AK61" s="595"/>
      <c r="AL61" s="595"/>
      <c r="AM61" s="595"/>
    </row>
    <row r="62" spans="1:39" ht="92.1" hidden="1" x14ac:dyDescent="0.35">
      <c r="A62" s="586">
        <f t="shared" si="3"/>
        <v>43</v>
      </c>
      <c r="B62" s="587" t="s">
        <v>476</v>
      </c>
      <c r="C62" s="588">
        <v>41110000</v>
      </c>
      <c r="D62" s="589" t="s">
        <v>477</v>
      </c>
      <c r="E62" s="587" t="s">
        <v>48</v>
      </c>
      <c r="F62" s="587">
        <v>1</v>
      </c>
      <c r="G62" s="590" t="s">
        <v>75</v>
      </c>
      <c r="H62" s="591" t="s">
        <v>156</v>
      </c>
      <c r="I62" s="587" t="s">
        <v>55</v>
      </c>
      <c r="J62" s="587" t="s">
        <v>35</v>
      </c>
      <c r="K62" s="587" t="s">
        <v>41</v>
      </c>
      <c r="L62" s="592">
        <v>382336</v>
      </c>
      <c r="M62" s="593">
        <v>382336</v>
      </c>
      <c r="N62" s="587" t="s">
        <v>51</v>
      </c>
      <c r="O62" s="587" t="s">
        <v>36</v>
      </c>
      <c r="P62" s="587" t="s">
        <v>475</v>
      </c>
      <c r="Q62" s="80"/>
      <c r="R62" s="608"/>
      <c r="S62" s="595"/>
      <c r="T62" s="595"/>
      <c r="U62" s="595"/>
      <c r="V62" s="595"/>
      <c r="W62" s="595"/>
      <c r="X62" s="595"/>
      <c r="Y62" s="595"/>
      <c r="Z62" s="595"/>
      <c r="AA62" s="595"/>
      <c r="AB62" s="595"/>
      <c r="AC62" s="595"/>
      <c r="AD62" s="595"/>
      <c r="AE62" s="595"/>
      <c r="AF62" s="595"/>
      <c r="AG62" s="595"/>
      <c r="AH62" s="595"/>
      <c r="AI62" s="595"/>
      <c r="AJ62" s="595"/>
      <c r="AK62" s="595"/>
      <c r="AL62" s="595"/>
      <c r="AM62" s="595"/>
    </row>
    <row r="63" spans="1:39" ht="92.1" hidden="1" x14ac:dyDescent="0.35">
      <c r="A63" s="586">
        <f t="shared" si="3"/>
        <v>44</v>
      </c>
      <c r="B63" s="587" t="s">
        <v>476</v>
      </c>
      <c r="C63" s="588">
        <v>44103124</v>
      </c>
      <c r="D63" s="589" t="s">
        <v>478</v>
      </c>
      <c r="E63" s="587" t="s">
        <v>48</v>
      </c>
      <c r="F63" s="587">
        <v>1</v>
      </c>
      <c r="G63" s="590" t="s">
        <v>75</v>
      </c>
      <c r="H63" s="591" t="s">
        <v>156</v>
      </c>
      <c r="I63" s="587" t="s">
        <v>55</v>
      </c>
      <c r="J63" s="587" t="s">
        <v>35</v>
      </c>
      <c r="K63" s="587" t="s">
        <v>41</v>
      </c>
      <c r="L63" s="592">
        <v>450000</v>
      </c>
      <c r="M63" s="593">
        <v>450000</v>
      </c>
      <c r="N63" s="587" t="s">
        <v>51</v>
      </c>
      <c r="O63" s="587" t="s">
        <v>36</v>
      </c>
      <c r="P63" s="587" t="s">
        <v>475</v>
      </c>
      <c r="Q63" s="80"/>
      <c r="R63" s="608"/>
      <c r="S63" s="595"/>
      <c r="T63" s="595"/>
      <c r="U63" s="595"/>
      <c r="V63" s="595"/>
      <c r="W63" s="595"/>
      <c r="X63" s="595"/>
      <c r="Y63" s="595"/>
      <c r="Z63" s="595"/>
      <c r="AA63" s="595"/>
      <c r="AB63" s="595"/>
      <c r="AC63" s="595"/>
      <c r="AD63" s="595"/>
      <c r="AE63" s="595"/>
      <c r="AF63" s="595"/>
      <c r="AG63" s="595"/>
      <c r="AH63" s="595"/>
      <c r="AI63" s="595"/>
      <c r="AJ63" s="595"/>
      <c r="AK63" s="595"/>
      <c r="AL63" s="595"/>
      <c r="AM63" s="595"/>
    </row>
    <row r="64" spans="1:39" ht="92.1" hidden="1" x14ac:dyDescent="0.35">
      <c r="A64" s="586">
        <f t="shared" si="3"/>
        <v>45</v>
      </c>
      <c r="B64" s="587" t="s">
        <v>476</v>
      </c>
      <c r="C64" s="588">
        <v>44121634</v>
      </c>
      <c r="D64" s="589" t="s">
        <v>479</v>
      </c>
      <c r="E64" s="587" t="s">
        <v>48</v>
      </c>
      <c r="F64" s="587">
        <v>1</v>
      </c>
      <c r="G64" s="590" t="s">
        <v>75</v>
      </c>
      <c r="H64" s="591" t="s">
        <v>156</v>
      </c>
      <c r="I64" s="587" t="s">
        <v>55</v>
      </c>
      <c r="J64" s="587" t="s">
        <v>35</v>
      </c>
      <c r="K64" s="587" t="s">
        <v>41</v>
      </c>
      <c r="L64" s="592">
        <v>300000</v>
      </c>
      <c r="M64" s="593">
        <v>300000</v>
      </c>
      <c r="N64" s="587" t="s">
        <v>51</v>
      </c>
      <c r="O64" s="587" t="s">
        <v>36</v>
      </c>
      <c r="P64" s="587" t="s">
        <v>475</v>
      </c>
      <c r="Q64" s="80"/>
      <c r="R64" s="608"/>
      <c r="S64" s="595"/>
      <c r="T64" s="595"/>
      <c r="U64" s="595"/>
      <c r="V64" s="595"/>
      <c r="W64" s="595"/>
      <c r="X64" s="595"/>
      <c r="Y64" s="595"/>
      <c r="Z64" s="595"/>
      <c r="AA64" s="595"/>
      <c r="AB64" s="595"/>
      <c r="AC64" s="595"/>
      <c r="AD64" s="595"/>
      <c r="AE64" s="595"/>
      <c r="AF64" s="595"/>
      <c r="AG64" s="595"/>
      <c r="AH64" s="595"/>
      <c r="AI64" s="595"/>
      <c r="AJ64" s="595"/>
      <c r="AK64" s="595"/>
      <c r="AL64" s="595"/>
      <c r="AM64" s="595"/>
    </row>
    <row r="65" spans="1:39" ht="92.1" hidden="1" x14ac:dyDescent="0.35">
      <c r="A65" s="586">
        <f t="shared" si="3"/>
        <v>46</v>
      </c>
      <c r="B65" s="587" t="s">
        <v>476</v>
      </c>
      <c r="C65" s="588">
        <v>44122003</v>
      </c>
      <c r="D65" s="589" t="s">
        <v>480</v>
      </c>
      <c r="E65" s="587" t="s">
        <v>48</v>
      </c>
      <c r="F65" s="587">
        <v>1</v>
      </c>
      <c r="G65" s="590" t="s">
        <v>75</v>
      </c>
      <c r="H65" s="591" t="s">
        <v>156</v>
      </c>
      <c r="I65" s="587" t="s">
        <v>55</v>
      </c>
      <c r="J65" s="587" t="s">
        <v>35</v>
      </c>
      <c r="K65" s="587" t="s">
        <v>41</v>
      </c>
      <c r="L65" s="592">
        <v>4800000</v>
      </c>
      <c r="M65" s="593">
        <v>4800000</v>
      </c>
      <c r="N65" s="587" t="s">
        <v>51</v>
      </c>
      <c r="O65" s="587" t="s">
        <v>36</v>
      </c>
      <c r="P65" s="587" t="s">
        <v>475</v>
      </c>
      <c r="Q65" s="80"/>
      <c r="R65" s="608"/>
      <c r="S65" s="595"/>
      <c r="T65" s="595"/>
      <c r="U65" s="595"/>
      <c r="V65" s="595"/>
      <c r="W65" s="595"/>
      <c r="X65" s="595"/>
      <c r="Y65" s="595"/>
      <c r="Z65" s="595"/>
      <c r="AA65" s="595"/>
      <c r="AB65" s="595"/>
      <c r="AC65" s="595"/>
      <c r="AD65" s="595"/>
      <c r="AE65" s="595"/>
      <c r="AF65" s="595"/>
      <c r="AG65" s="595"/>
      <c r="AH65" s="595"/>
      <c r="AI65" s="595"/>
      <c r="AJ65" s="595"/>
      <c r="AK65" s="595"/>
      <c r="AL65" s="595"/>
      <c r="AM65" s="595"/>
    </row>
    <row r="66" spans="1:39" ht="92.1" hidden="1" x14ac:dyDescent="0.35">
      <c r="A66" s="586">
        <f t="shared" si="3"/>
        <v>47</v>
      </c>
      <c r="B66" s="587" t="s">
        <v>476</v>
      </c>
      <c r="C66" s="588">
        <v>44111515</v>
      </c>
      <c r="D66" s="589" t="s">
        <v>481</v>
      </c>
      <c r="E66" s="587" t="s">
        <v>48</v>
      </c>
      <c r="F66" s="587">
        <v>1</v>
      </c>
      <c r="G66" s="590" t="s">
        <v>75</v>
      </c>
      <c r="H66" s="591" t="s">
        <v>156</v>
      </c>
      <c r="I66" s="587" t="s">
        <v>55</v>
      </c>
      <c r="J66" s="587" t="s">
        <v>35</v>
      </c>
      <c r="K66" s="587" t="s">
        <v>41</v>
      </c>
      <c r="L66" s="592">
        <v>1537500</v>
      </c>
      <c r="M66" s="593">
        <v>1537500</v>
      </c>
      <c r="N66" s="587" t="s">
        <v>51</v>
      </c>
      <c r="O66" s="587" t="s">
        <v>36</v>
      </c>
      <c r="P66" s="587" t="s">
        <v>475</v>
      </c>
      <c r="Q66" s="80"/>
      <c r="R66" s="608"/>
      <c r="S66" s="595"/>
      <c r="T66" s="595"/>
      <c r="U66" s="595"/>
      <c r="V66" s="595"/>
      <c r="W66" s="595"/>
      <c r="X66" s="595"/>
      <c r="Y66" s="595"/>
      <c r="Z66" s="595"/>
      <c r="AA66" s="595"/>
      <c r="AB66" s="595"/>
      <c r="AC66" s="595"/>
      <c r="AD66" s="595"/>
      <c r="AE66" s="595"/>
      <c r="AF66" s="595"/>
      <c r="AG66" s="595"/>
      <c r="AH66" s="595"/>
      <c r="AI66" s="595"/>
      <c r="AJ66" s="595"/>
      <c r="AK66" s="595"/>
      <c r="AL66" s="595"/>
      <c r="AM66" s="595"/>
    </row>
    <row r="67" spans="1:39" ht="138" hidden="1" x14ac:dyDescent="0.35">
      <c r="A67" s="586">
        <f t="shared" si="3"/>
        <v>48</v>
      </c>
      <c r="B67" s="587" t="s">
        <v>482</v>
      </c>
      <c r="C67" s="588" t="s">
        <v>70</v>
      </c>
      <c r="D67" s="589" t="s">
        <v>197</v>
      </c>
      <c r="E67" s="587" t="s">
        <v>48</v>
      </c>
      <c r="F67" s="587">
        <v>1</v>
      </c>
      <c r="G67" s="590" t="s">
        <v>78</v>
      </c>
      <c r="H67" s="591">
        <v>10</v>
      </c>
      <c r="I67" s="587" t="s">
        <v>173</v>
      </c>
      <c r="J67" s="587" t="s">
        <v>35</v>
      </c>
      <c r="K67" s="587" t="s">
        <v>42</v>
      </c>
      <c r="L67" s="592">
        <v>24000000</v>
      </c>
      <c r="M67" s="593">
        <v>24000000</v>
      </c>
      <c r="N67" s="587" t="s">
        <v>51</v>
      </c>
      <c r="O67" s="587" t="s">
        <v>36</v>
      </c>
      <c r="P67" s="587" t="s">
        <v>319</v>
      </c>
      <c r="Q67" s="80"/>
      <c r="R67" s="608"/>
      <c r="S67" s="595"/>
      <c r="T67" s="595"/>
      <c r="U67" s="595"/>
      <c r="V67" s="595"/>
      <c r="W67" s="595"/>
      <c r="X67" s="595"/>
      <c r="Y67" s="595"/>
      <c r="Z67" s="595"/>
      <c r="AA67" s="595"/>
      <c r="AB67" s="595"/>
      <c r="AC67" s="595"/>
      <c r="AD67" s="595"/>
      <c r="AE67" s="595"/>
      <c r="AF67" s="595"/>
      <c r="AG67" s="595"/>
      <c r="AH67" s="595"/>
      <c r="AI67" s="595"/>
      <c r="AJ67" s="595"/>
      <c r="AK67" s="595"/>
      <c r="AL67" s="595"/>
      <c r="AM67" s="595"/>
    </row>
    <row r="68" spans="1:39" ht="138" hidden="1" x14ac:dyDescent="0.35">
      <c r="A68" s="586">
        <f t="shared" si="3"/>
        <v>49</v>
      </c>
      <c r="B68" s="587" t="s">
        <v>482</v>
      </c>
      <c r="C68" s="588" t="s">
        <v>70</v>
      </c>
      <c r="D68" s="612" t="s">
        <v>313</v>
      </c>
      <c r="E68" s="587" t="s">
        <v>48</v>
      </c>
      <c r="F68" s="587">
        <v>1</v>
      </c>
      <c r="G68" s="590" t="s">
        <v>180</v>
      </c>
      <c r="H68" s="591" t="s">
        <v>156</v>
      </c>
      <c r="I68" s="587" t="s">
        <v>173</v>
      </c>
      <c r="J68" s="587" t="s">
        <v>35</v>
      </c>
      <c r="K68" s="587" t="s">
        <v>42</v>
      </c>
      <c r="L68" s="592">
        <v>10000000</v>
      </c>
      <c r="M68" s="593">
        <v>10000000</v>
      </c>
      <c r="N68" s="587" t="s">
        <v>51</v>
      </c>
      <c r="O68" s="587" t="s">
        <v>36</v>
      </c>
      <c r="P68" s="587" t="s">
        <v>319</v>
      </c>
      <c r="Q68" s="80"/>
      <c r="R68" s="608"/>
      <c r="S68" s="595"/>
      <c r="T68" s="595"/>
      <c r="U68" s="595"/>
      <c r="V68" s="595"/>
      <c r="W68" s="595"/>
      <c r="X68" s="595"/>
      <c r="Y68" s="595"/>
      <c r="Z68" s="595"/>
      <c r="AA68" s="595"/>
      <c r="AB68" s="595"/>
      <c r="AC68" s="595"/>
      <c r="AD68" s="595"/>
      <c r="AE68" s="595"/>
      <c r="AF68" s="595"/>
      <c r="AG68" s="595"/>
      <c r="AH68" s="595"/>
      <c r="AI68" s="595"/>
      <c r="AJ68" s="595"/>
      <c r="AK68" s="595"/>
      <c r="AL68" s="595"/>
      <c r="AM68" s="595"/>
    </row>
    <row r="69" spans="1:39" ht="114.95" hidden="1" x14ac:dyDescent="0.35">
      <c r="A69" s="586">
        <f t="shared" si="3"/>
        <v>50</v>
      </c>
      <c r="B69" s="587" t="s">
        <v>482</v>
      </c>
      <c r="C69" s="588">
        <v>80101706</v>
      </c>
      <c r="D69" s="589" t="s">
        <v>63</v>
      </c>
      <c r="E69" s="587" t="s">
        <v>48</v>
      </c>
      <c r="F69" s="587">
        <v>1</v>
      </c>
      <c r="G69" s="590" t="s">
        <v>80</v>
      </c>
      <c r="H69" s="591">
        <v>11</v>
      </c>
      <c r="I69" s="587" t="s">
        <v>55</v>
      </c>
      <c r="J69" s="587" t="s">
        <v>35</v>
      </c>
      <c r="K69" s="587" t="s">
        <v>43</v>
      </c>
      <c r="L69" s="592">
        <v>10075000</v>
      </c>
      <c r="M69" s="593">
        <v>10075000</v>
      </c>
      <c r="N69" s="587" t="s">
        <v>51</v>
      </c>
      <c r="O69" s="587" t="s">
        <v>36</v>
      </c>
      <c r="P69" s="587" t="s">
        <v>319</v>
      </c>
      <c r="Q69" s="80"/>
      <c r="R69" s="609"/>
      <c r="S69" s="595"/>
      <c r="T69" s="595"/>
      <c r="U69" s="595"/>
      <c r="V69" s="595"/>
      <c r="W69" s="595"/>
      <c r="X69" s="595"/>
      <c r="Y69" s="595"/>
      <c r="Z69" s="595"/>
      <c r="AA69" s="595"/>
      <c r="AB69" s="595"/>
      <c r="AC69" s="595"/>
      <c r="AD69" s="595"/>
      <c r="AE69" s="595"/>
      <c r="AF69" s="595"/>
      <c r="AG69" s="595"/>
      <c r="AH69" s="595"/>
      <c r="AI69" s="595"/>
      <c r="AJ69" s="595"/>
      <c r="AK69" s="595"/>
      <c r="AL69" s="595"/>
      <c r="AM69" s="595"/>
    </row>
    <row r="70" spans="1:39" ht="86.45" hidden="1" customHeight="1" x14ac:dyDescent="0.35">
      <c r="A70" s="586">
        <f t="shared" si="3"/>
        <v>51</v>
      </c>
      <c r="B70" s="587" t="s">
        <v>482</v>
      </c>
      <c r="C70" s="588">
        <v>78111803</v>
      </c>
      <c r="D70" s="589" t="s">
        <v>64</v>
      </c>
      <c r="E70" s="587" t="s">
        <v>48</v>
      </c>
      <c r="F70" s="587">
        <v>1</v>
      </c>
      <c r="G70" s="590" t="s">
        <v>180</v>
      </c>
      <c r="H70" s="591" t="s">
        <v>156</v>
      </c>
      <c r="I70" s="587" t="s">
        <v>55</v>
      </c>
      <c r="J70" s="587" t="s">
        <v>35</v>
      </c>
      <c r="K70" s="587" t="s">
        <v>43</v>
      </c>
      <c r="L70" s="592">
        <v>15000000</v>
      </c>
      <c r="M70" s="593">
        <v>15000000</v>
      </c>
      <c r="N70" s="587" t="s">
        <v>51</v>
      </c>
      <c r="O70" s="587" t="s">
        <v>36</v>
      </c>
      <c r="P70" s="587" t="s">
        <v>319</v>
      </c>
      <c r="Q70" s="80"/>
      <c r="R70" s="609"/>
      <c r="S70" s="595"/>
      <c r="T70" s="595"/>
      <c r="U70" s="595"/>
      <c r="V70" s="595"/>
      <c r="W70" s="595"/>
      <c r="X70" s="595"/>
      <c r="Y70" s="595"/>
      <c r="Z70" s="595"/>
      <c r="AA70" s="595"/>
      <c r="AB70" s="595"/>
      <c r="AC70" s="595"/>
      <c r="AD70" s="595"/>
      <c r="AE70" s="595"/>
      <c r="AF70" s="595"/>
      <c r="AG70" s="595"/>
      <c r="AH70" s="595"/>
      <c r="AI70" s="595"/>
      <c r="AJ70" s="595"/>
      <c r="AK70" s="595"/>
      <c r="AL70" s="595"/>
      <c r="AM70" s="595"/>
    </row>
    <row r="71" spans="1:39" ht="69" hidden="1" x14ac:dyDescent="0.35">
      <c r="A71" s="586">
        <f t="shared" si="3"/>
        <v>52</v>
      </c>
      <c r="B71" s="587" t="s">
        <v>482</v>
      </c>
      <c r="C71" s="588" t="s">
        <v>72</v>
      </c>
      <c r="D71" s="589" t="s">
        <v>65</v>
      </c>
      <c r="E71" s="587" t="s">
        <v>48</v>
      </c>
      <c r="F71" s="587">
        <v>1</v>
      </c>
      <c r="G71" s="590" t="s">
        <v>180</v>
      </c>
      <c r="H71" s="591" t="s">
        <v>156</v>
      </c>
      <c r="I71" s="587" t="s">
        <v>55</v>
      </c>
      <c r="J71" s="587" t="s">
        <v>35</v>
      </c>
      <c r="K71" s="587" t="s">
        <v>45</v>
      </c>
      <c r="L71" s="622">
        <v>17000000</v>
      </c>
      <c r="M71" s="623">
        <v>17000000</v>
      </c>
      <c r="N71" s="587" t="s">
        <v>51</v>
      </c>
      <c r="O71" s="587" t="s">
        <v>36</v>
      </c>
      <c r="P71" s="587" t="s">
        <v>319</v>
      </c>
      <c r="Q71" s="80"/>
      <c r="R71" s="609"/>
      <c r="S71" s="595"/>
      <c r="T71" s="595"/>
      <c r="U71" s="595"/>
      <c r="V71" s="595"/>
      <c r="W71" s="595"/>
      <c r="X71" s="595"/>
      <c r="Y71" s="595"/>
      <c r="Z71" s="595"/>
      <c r="AA71" s="595"/>
      <c r="AB71" s="595"/>
      <c r="AC71" s="595"/>
      <c r="AD71" s="595"/>
      <c r="AE71" s="595"/>
      <c r="AF71" s="595"/>
      <c r="AG71" s="595"/>
      <c r="AH71" s="595"/>
      <c r="AI71" s="595"/>
      <c r="AJ71" s="595"/>
      <c r="AK71" s="595"/>
      <c r="AL71" s="595"/>
      <c r="AM71" s="595"/>
    </row>
    <row r="72" spans="1:39" ht="92.1" hidden="1" x14ac:dyDescent="0.35">
      <c r="A72" s="586">
        <f t="shared" si="3"/>
        <v>53</v>
      </c>
      <c r="B72" s="587" t="s">
        <v>316</v>
      </c>
      <c r="C72" s="588">
        <v>5216512</v>
      </c>
      <c r="D72" s="612" t="s">
        <v>456</v>
      </c>
      <c r="E72" s="587" t="s">
        <v>48</v>
      </c>
      <c r="F72" s="587">
        <v>1</v>
      </c>
      <c r="G72" s="590" t="s">
        <v>76</v>
      </c>
      <c r="H72" s="591" t="s">
        <v>156</v>
      </c>
      <c r="I72" s="587" t="s">
        <v>55</v>
      </c>
      <c r="J72" s="587" t="s">
        <v>35</v>
      </c>
      <c r="K72" s="587" t="s">
        <v>195</v>
      </c>
      <c r="L72" s="592">
        <v>6000000</v>
      </c>
      <c r="M72" s="593">
        <v>6000000</v>
      </c>
      <c r="N72" s="587" t="s">
        <v>51</v>
      </c>
      <c r="O72" s="587" t="s">
        <v>36</v>
      </c>
      <c r="P72" s="587" t="s">
        <v>320</v>
      </c>
      <c r="Q72" s="80"/>
      <c r="R72" s="608"/>
      <c r="S72" s="595"/>
      <c r="T72" s="595"/>
      <c r="U72" s="595"/>
      <c r="V72" s="595"/>
      <c r="W72" s="595"/>
      <c r="X72" s="595"/>
      <c r="Y72" s="595"/>
      <c r="Z72" s="595"/>
      <c r="AA72" s="595"/>
      <c r="AB72" s="595"/>
      <c r="AC72" s="595"/>
      <c r="AD72" s="595"/>
      <c r="AE72" s="595"/>
      <c r="AF72" s="595"/>
      <c r="AG72" s="595"/>
      <c r="AH72" s="595"/>
      <c r="AI72" s="595"/>
      <c r="AJ72" s="595"/>
      <c r="AK72" s="595"/>
      <c r="AL72" s="595"/>
      <c r="AM72" s="595"/>
    </row>
    <row r="73" spans="1:39" ht="57.6" hidden="1" customHeight="1" x14ac:dyDescent="0.35">
      <c r="A73" s="586">
        <f t="shared" si="3"/>
        <v>54</v>
      </c>
      <c r="B73" s="587" t="s">
        <v>483</v>
      </c>
      <c r="C73" s="588">
        <v>42000000</v>
      </c>
      <c r="D73" s="612" t="s">
        <v>485</v>
      </c>
      <c r="E73" s="587" t="s">
        <v>48</v>
      </c>
      <c r="F73" s="587">
        <v>1</v>
      </c>
      <c r="G73" s="590" t="s">
        <v>81</v>
      </c>
      <c r="H73" s="591" t="s">
        <v>156</v>
      </c>
      <c r="I73" s="587" t="s">
        <v>55</v>
      </c>
      <c r="J73" s="587" t="s">
        <v>35</v>
      </c>
      <c r="K73" s="587" t="s">
        <v>43</v>
      </c>
      <c r="L73" s="592">
        <v>5000000</v>
      </c>
      <c r="M73" s="593">
        <v>5000000</v>
      </c>
      <c r="N73" s="587" t="s">
        <v>51</v>
      </c>
      <c r="O73" s="587" t="s">
        <v>36</v>
      </c>
      <c r="P73" s="587" t="s">
        <v>319</v>
      </c>
      <c r="Q73" s="80"/>
      <c r="R73" s="609"/>
      <c r="S73" s="595"/>
      <c r="T73" s="595"/>
      <c r="U73" s="595"/>
      <c r="V73" s="595"/>
      <c r="W73" s="595"/>
      <c r="X73" s="595"/>
      <c r="Y73" s="595"/>
      <c r="Z73" s="595"/>
      <c r="AA73" s="595"/>
      <c r="AB73" s="595"/>
      <c r="AC73" s="595"/>
      <c r="AD73" s="595"/>
      <c r="AE73" s="595"/>
      <c r="AF73" s="595"/>
      <c r="AG73" s="595"/>
      <c r="AH73" s="595"/>
      <c r="AI73" s="595"/>
      <c r="AJ73" s="595"/>
      <c r="AK73" s="595"/>
      <c r="AL73" s="595"/>
      <c r="AM73" s="595"/>
    </row>
    <row r="74" spans="1:39" ht="65.45" hidden="1" customHeight="1" x14ac:dyDescent="0.35">
      <c r="A74" s="586">
        <f t="shared" si="3"/>
        <v>55</v>
      </c>
      <c r="B74" s="587" t="s">
        <v>483</v>
      </c>
      <c r="C74" s="594"/>
      <c r="D74" s="612" t="s">
        <v>486</v>
      </c>
      <c r="E74" s="587" t="s">
        <v>48</v>
      </c>
      <c r="F74" s="587">
        <v>1</v>
      </c>
      <c r="G74" s="590" t="s">
        <v>80</v>
      </c>
      <c r="H74" s="591" t="s">
        <v>156</v>
      </c>
      <c r="I74" s="587" t="s">
        <v>55</v>
      </c>
      <c r="J74" s="587" t="s">
        <v>35</v>
      </c>
      <c r="K74" s="587" t="s">
        <v>43</v>
      </c>
      <c r="L74" s="592">
        <v>5000000</v>
      </c>
      <c r="M74" s="593">
        <v>5000000</v>
      </c>
      <c r="N74" s="587" t="s">
        <v>51</v>
      </c>
      <c r="O74" s="587" t="s">
        <v>36</v>
      </c>
      <c r="P74" s="587" t="s">
        <v>319</v>
      </c>
      <c r="Q74" s="80"/>
      <c r="R74" s="609"/>
      <c r="S74" s="595"/>
      <c r="T74" s="595"/>
      <c r="U74" s="595"/>
      <c r="V74" s="595"/>
      <c r="W74" s="595"/>
      <c r="X74" s="595"/>
      <c r="Y74" s="595"/>
      <c r="Z74" s="595"/>
      <c r="AA74" s="595"/>
      <c r="AB74" s="595"/>
      <c r="AC74" s="595"/>
      <c r="AD74" s="595"/>
      <c r="AE74" s="595"/>
      <c r="AF74" s="595"/>
      <c r="AG74" s="595"/>
      <c r="AH74" s="595"/>
      <c r="AI74" s="595"/>
      <c r="AJ74" s="595"/>
      <c r="AK74" s="595"/>
      <c r="AL74" s="595"/>
      <c r="AM74" s="595"/>
    </row>
    <row r="75" spans="1:39" ht="186.75" hidden="1" customHeight="1" x14ac:dyDescent="0.35">
      <c r="A75" s="586">
        <f t="shared" si="3"/>
        <v>56</v>
      </c>
      <c r="B75" s="587" t="s">
        <v>483</v>
      </c>
      <c r="C75" s="613" t="s">
        <v>67</v>
      </c>
      <c r="D75" s="589" t="s">
        <v>584</v>
      </c>
      <c r="E75" s="587" t="s">
        <v>48</v>
      </c>
      <c r="F75" s="587">
        <v>1</v>
      </c>
      <c r="G75" s="590" t="s">
        <v>80</v>
      </c>
      <c r="H75" s="591" t="s">
        <v>177</v>
      </c>
      <c r="I75" s="587" t="s">
        <v>55</v>
      </c>
      <c r="J75" s="587" t="s">
        <v>35</v>
      </c>
      <c r="K75" s="587" t="s">
        <v>43</v>
      </c>
      <c r="L75" s="592">
        <v>5000000</v>
      </c>
      <c r="M75" s="593">
        <v>5000000</v>
      </c>
      <c r="N75" s="587" t="s">
        <v>51</v>
      </c>
      <c r="O75" s="587" t="s">
        <v>36</v>
      </c>
      <c r="P75" s="587" t="s">
        <v>319</v>
      </c>
      <c r="Q75" s="80"/>
      <c r="R75" s="609"/>
      <c r="S75" s="595"/>
      <c r="T75" s="595"/>
      <c r="U75" s="595"/>
      <c r="V75" s="595"/>
      <c r="W75" s="595"/>
      <c r="X75" s="595"/>
      <c r="Y75" s="595"/>
      <c r="Z75" s="595"/>
      <c r="AA75" s="595"/>
      <c r="AB75" s="595"/>
      <c r="AC75" s="595"/>
      <c r="AD75" s="595"/>
      <c r="AE75" s="595"/>
      <c r="AF75" s="595"/>
      <c r="AG75" s="595"/>
      <c r="AH75" s="595"/>
      <c r="AI75" s="595"/>
      <c r="AJ75" s="595"/>
      <c r="AK75" s="595"/>
      <c r="AL75" s="595"/>
      <c r="AM75" s="595"/>
    </row>
    <row r="76" spans="1:39" ht="119.45" hidden="1" customHeight="1" x14ac:dyDescent="0.35">
      <c r="A76" s="586">
        <f t="shared" si="3"/>
        <v>57</v>
      </c>
      <c r="B76" s="587" t="s">
        <v>483</v>
      </c>
      <c r="C76" s="594"/>
      <c r="D76" s="612" t="s">
        <v>487</v>
      </c>
      <c r="E76" s="587" t="s">
        <v>48</v>
      </c>
      <c r="F76" s="587">
        <v>1</v>
      </c>
      <c r="G76" s="590" t="s">
        <v>80</v>
      </c>
      <c r="H76" s="591" t="s">
        <v>157</v>
      </c>
      <c r="I76" s="587" t="s">
        <v>61</v>
      </c>
      <c r="J76" s="587" t="s">
        <v>35</v>
      </c>
      <c r="K76" s="587" t="s">
        <v>439</v>
      </c>
      <c r="L76" s="592">
        <v>343000000</v>
      </c>
      <c r="M76" s="593">
        <v>343000000</v>
      </c>
      <c r="N76" s="587" t="s">
        <v>51</v>
      </c>
      <c r="O76" s="587" t="s">
        <v>36</v>
      </c>
      <c r="P76" s="587" t="s">
        <v>319</v>
      </c>
      <c r="Q76" s="80"/>
      <c r="R76" s="609"/>
      <c r="S76" s="595"/>
      <c r="T76" s="595"/>
      <c r="U76" s="595"/>
      <c r="V76" s="595"/>
      <c r="W76" s="595"/>
      <c r="X76" s="595"/>
      <c r="Y76" s="595"/>
      <c r="Z76" s="595"/>
      <c r="AA76" s="595"/>
      <c r="AB76" s="595"/>
      <c r="AC76" s="595"/>
      <c r="AD76" s="595"/>
      <c r="AE76" s="595"/>
      <c r="AF76" s="595"/>
      <c r="AG76" s="595"/>
      <c r="AH76" s="595"/>
      <c r="AI76" s="595"/>
      <c r="AJ76" s="595"/>
      <c r="AK76" s="595"/>
      <c r="AL76" s="595"/>
      <c r="AM76" s="595"/>
    </row>
    <row r="77" spans="1:39" ht="45.95" hidden="1" x14ac:dyDescent="0.35">
      <c r="A77" s="586">
        <f t="shared" si="3"/>
        <v>58</v>
      </c>
      <c r="B77" s="587" t="s">
        <v>483</v>
      </c>
      <c r="C77" s="594"/>
      <c r="D77" s="612" t="s">
        <v>488</v>
      </c>
      <c r="E77" s="587" t="s">
        <v>48</v>
      </c>
      <c r="F77" s="587">
        <v>1</v>
      </c>
      <c r="G77" s="590" t="s">
        <v>81</v>
      </c>
      <c r="H77" s="591">
        <v>2</v>
      </c>
      <c r="I77" s="587" t="s">
        <v>226</v>
      </c>
      <c r="J77" s="587" t="s">
        <v>35</v>
      </c>
      <c r="K77" s="587" t="s">
        <v>489</v>
      </c>
      <c r="L77" s="592">
        <v>600000000</v>
      </c>
      <c r="M77" s="593">
        <v>600000000</v>
      </c>
      <c r="N77" s="587" t="s">
        <v>51</v>
      </c>
      <c r="O77" s="587" t="s">
        <v>36</v>
      </c>
      <c r="P77" s="587" t="s">
        <v>319</v>
      </c>
      <c r="Q77" s="80"/>
      <c r="R77" s="609"/>
      <c r="S77" s="595"/>
      <c r="T77" s="595"/>
      <c r="U77" s="595"/>
      <c r="V77" s="595"/>
      <c r="W77" s="595"/>
      <c r="X77" s="595"/>
      <c r="Y77" s="595"/>
      <c r="Z77" s="595"/>
      <c r="AA77" s="595"/>
      <c r="AB77" s="595"/>
      <c r="AC77" s="595"/>
      <c r="AD77" s="595"/>
      <c r="AE77" s="595"/>
      <c r="AF77" s="595"/>
      <c r="AG77" s="595"/>
      <c r="AH77" s="595"/>
      <c r="AI77" s="595"/>
      <c r="AJ77" s="595"/>
      <c r="AK77" s="595"/>
      <c r="AL77" s="595"/>
      <c r="AM77" s="595"/>
    </row>
    <row r="78" spans="1:39" ht="92.1" hidden="1" x14ac:dyDescent="0.35">
      <c r="A78" s="586">
        <f t="shared" si="3"/>
        <v>59</v>
      </c>
      <c r="B78" s="587" t="s">
        <v>198</v>
      </c>
      <c r="C78" s="588">
        <v>204415</v>
      </c>
      <c r="D78" s="589" t="s">
        <v>199</v>
      </c>
      <c r="E78" s="587" t="s">
        <v>48</v>
      </c>
      <c r="F78" s="587">
        <v>1</v>
      </c>
      <c r="G78" s="590" t="s">
        <v>78</v>
      </c>
      <c r="H78" s="591" t="s">
        <v>156</v>
      </c>
      <c r="I78" s="587" t="s">
        <v>55</v>
      </c>
      <c r="J78" s="587" t="s">
        <v>35</v>
      </c>
      <c r="K78" s="587" t="s">
        <v>41</v>
      </c>
      <c r="L78" s="592">
        <v>4000000</v>
      </c>
      <c r="M78" s="593">
        <v>4000000</v>
      </c>
      <c r="N78" s="587" t="s">
        <v>51</v>
      </c>
      <c r="O78" s="587" t="s">
        <v>36</v>
      </c>
      <c r="P78" s="587" t="s">
        <v>306</v>
      </c>
      <c r="Q78" s="80"/>
      <c r="R78" s="609"/>
      <c r="S78" s="595"/>
      <c r="T78" s="595"/>
      <c r="U78" s="595"/>
      <c r="V78" s="595"/>
      <c r="W78" s="595"/>
      <c r="X78" s="595"/>
      <c r="Y78" s="595"/>
      <c r="Z78" s="595"/>
      <c r="AA78" s="595"/>
      <c r="AB78" s="595"/>
      <c r="AC78" s="595"/>
      <c r="AD78" s="595"/>
      <c r="AE78" s="595"/>
      <c r="AF78" s="595"/>
      <c r="AG78" s="595"/>
      <c r="AH78" s="595"/>
      <c r="AI78" s="595"/>
      <c r="AJ78" s="595"/>
      <c r="AK78" s="595"/>
      <c r="AL78" s="595"/>
      <c r="AM78" s="595"/>
    </row>
    <row r="79" spans="1:39" ht="92.1" hidden="1" x14ac:dyDescent="0.35">
      <c r="A79" s="586">
        <f t="shared" si="3"/>
        <v>60</v>
      </c>
      <c r="B79" s="587" t="s">
        <v>198</v>
      </c>
      <c r="C79" s="588">
        <v>55101500</v>
      </c>
      <c r="D79" s="589" t="s">
        <v>200</v>
      </c>
      <c r="E79" s="587" t="s">
        <v>48</v>
      </c>
      <c r="F79" s="587">
        <v>1</v>
      </c>
      <c r="G79" s="590" t="s">
        <v>77</v>
      </c>
      <c r="H79" s="591" t="s">
        <v>156</v>
      </c>
      <c r="I79" s="587" t="s">
        <v>61</v>
      </c>
      <c r="J79" s="587" t="s">
        <v>35</v>
      </c>
      <c r="K79" s="587" t="s">
        <v>41</v>
      </c>
      <c r="L79" s="592">
        <v>15000000</v>
      </c>
      <c r="M79" s="593">
        <v>15000000</v>
      </c>
      <c r="N79" s="587" t="s">
        <v>51</v>
      </c>
      <c r="O79" s="587" t="s">
        <v>36</v>
      </c>
      <c r="P79" s="587" t="s">
        <v>306</v>
      </c>
      <c r="Q79" s="80"/>
      <c r="R79" s="609"/>
      <c r="S79" s="595"/>
      <c r="T79" s="595"/>
      <c r="U79" s="595"/>
      <c r="V79" s="595"/>
      <c r="W79" s="595"/>
      <c r="X79" s="595"/>
      <c r="Y79" s="595"/>
      <c r="Z79" s="595"/>
      <c r="AA79" s="595"/>
      <c r="AB79" s="595"/>
      <c r="AC79" s="595"/>
      <c r="AD79" s="595"/>
      <c r="AE79" s="595"/>
      <c r="AF79" s="595"/>
      <c r="AG79" s="595"/>
      <c r="AH79" s="595"/>
      <c r="AI79" s="595"/>
      <c r="AJ79" s="595"/>
      <c r="AK79" s="595"/>
      <c r="AL79" s="595"/>
      <c r="AM79" s="595"/>
    </row>
    <row r="80" spans="1:39" ht="92.1" hidden="1" x14ac:dyDescent="0.35">
      <c r="A80" s="586">
        <f t="shared" si="3"/>
        <v>61</v>
      </c>
      <c r="B80" s="587" t="s">
        <v>264</v>
      </c>
      <c r="C80" s="588">
        <v>43212105</v>
      </c>
      <c r="D80" s="612" t="s">
        <v>464</v>
      </c>
      <c r="E80" s="587" t="s">
        <v>48</v>
      </c>
      <c r="F80" s="587">
        <v>1</v>
      </c>
      <c r="G80" s="590" t="s">
        <v>75</v>
      </c>
      <c r="H80" s="591">
        <v>4</v>
      </c>
      <c r="I80" s="587" t="s">
        <v>53</v>
      </c>
      <c r="J80" s="587" t="s">
        <v>35</v>
      </c>
      <c r="K80" s="587" t="s">
        <v>195</v>
      </c>
      <c r="L80" s="592">
        <v>20000000</v>
      </c>
      <c r="M80" s="592">
        <v>20000000</v>
      </c>
      <c r="N80" s="587" t="s">
        <v>51</v>
      </c>
      <c r="O80" s="587" t="s">
        <v>36</v>
      </c>
      <c r="P80" s="587" t="s">
        <v>320</v>
      </c>
      <c r="Q80" s="80"/>
      <c r="R80" s="608"/>
      <c r="S80" s="595"/>
      <c r="T80" s="595"/>
      <c r="U80" s="595"/>
      <c r="V80" s="595"/>
      <c r="W80" s="595"/>
      <c r="X80" s="595"/>
      <c r="Y80" s="595"/>
      <c r="Z80" s="595"/>
      <c r="AA80" s="595"/>
      <c r="AB80" s="595"/>
      <c r="AC80" s="595"/>
      <c r="AD80" s="595"/>
      <c r="AE80" s="595"/>
      <c r="AF80" s="595"/>
      <c r="AG80" s="595"/>
      <c r="AH80" s="595"/>
      <c r="AI80" s="595"/>
      <c r="AJ80" s="595"/>
      <c r="AK80" s="595"/>
      <c r="AL80" s="595"/>
      <c r="AM80" s="595"/>
    </row>
    <row r="81" spans="1:39" ht="69" hidden="1" x14ac:dyDescent="0.35">
      <c r="A81" s="586">
        <f t="shared" si="3"/>
        <v>62</v>
      </c>
      <c r="B81" s="587" t="s">
        <v>490</v>
      </c>
      <c r="C81" s="588">
        <v>43211508</v>
      </c>
      <c r="D81" s="612" t="s">
        <v>432</v>
      </c>
      <c r="E81" s="587" t="s">
        <v>48</v>
      </c>
      <c r="F81" s="587">
        <v>1</v>
      </c>
      <c r="G81" s="590" t="s">
        <v>75</v>
      </c>
      <c r="H81" s="591" t="s">
        <v>156</v>
      </c>
      <c r="I81" s="587" t="s">
        <v>53</v>
      </c>
      <c r="J81" s="587" t="s">
        <v>35</v>
      </c>
      <c r="K81" s="587" t="s">
        <v>322</v>
      </c>
      <c r="L81" s="592">
        <v>20000000</v>
      </c>
      <c r="M81" s="593">
        <v>20000000</v>
      </c>
      <c r="N81" s="587" t="s">
        <v>51</v>
      </c>
      <c r="O81" s="587" t="s">
        <v>36</v>
      </c>
      <c r="P81" s="587" t="s">
        <v>308</v>
      </c>
      <c r="Q81" s="80"/>
      <c r="R81" s="609"/>
      <c r="S81" s="595"/>
      <c r="T81" s="595"/>
      <c r="U81" s="595"/>
      <c r="V81" s="595"/>
      <c r="W81" s="595"/>
      <c r="X81" s="595"/>
      <c r="Y81" s="595"/>
      <c r="Z81" s="595"/>
      <c r="AA81" s="595"/>
      <c r="AB81" s="595"/>
      <c r="AC81" s="595"/>
      <c r="AD81" s="595"/>
      <c r="AE81" s="595"/>
      <c r="AF81" s="595"/>
      <c r="AG81" s="595"/>
      <c r="AH81" s="595"/>
      <c r="AI81" s="595"/>
      <c r="AJ81" s="595"/>
      <c r="AK81" s="595"/>
      <c r="AL81" s="595"/>
      <c r="AM81" s="595"/>
    </row>
    <row r="82" spans="1:39" ht="69" hidden="1" x14ac:dyDescent="0.35">
      <c r="A82" s="586">
        <f t="shared" si="3"/>
        <v>63</v>
      </c>
      <c r="B82" s="587" t="s">
        <v>490</v>
      </c>
      <c r="C82" s="588">
        <v>81112502</v>
      </c>
      <c r="D82" s="589" t="s">
        <v>207</v>
      </c>
      <c r="E82" s="587" t="s">
        <v>48</v>
      </c>
      <c r="F82" s="587">
        <v>1</v>
      </c>
      <c r="G82" s="590" t="s">
        <v>166</v>
      </c>
      <c r="H82" s="591">
        <v>36</v>
      </c>
      <c r="I82" s="587" t="s">
        <v>173</v>
      </c>
      <c r="J82" s="587" t="s">
        <v>35</v>
      </c>
      <c r="K82" s="587" t="s">
        <v>161</v>
      </c>
      <c r="L82" s="592">
        <f>M82/5*36</f>
        <v>742768941.60000002</v>
      </c>
      <c r="M82" s="593">
        <v>103162353</v>
      </c>
      <c r="N82" s="587" t="s">
        <v>49</v>
      </c>
      <c r="O82" s="587" t="s">
        <v>303</v>
      </c>
      <c r="P82" s="587" t="s">
        <v>308</v>
      </c>
      <c r="Q82" s="80"/>
      <c r="R82" s="608"/>
      <c r="S82" s="595"/>
      <c r="T82" s="595"/>
      <c r="U82" s="595"/>
      <c r="V82" s="595"/>
      <c r="W82" s="595"/>
      <c r="X82" s="595"/>
      <c r="Y82" s="595"/>
      <c r="Z82" s="595"/>
      <c r="AA82" s="595"/>
      <c r="AB82" s="595"/>
      <c r="AC82" s="595"/>
      <c r="AD82" s="595"/>
      <c r="AE82" s="595"/>
      <c r="AF82" s="595"/>
      <c r="AG82" s="595"/>
      <c r="AH82" s="595"/>
      <c r="AI82" s="595"/>
      <c r="AJ82" s="595"/>
      <c r="AK82" s="595"/>
      <c r="AL82" s="595"/>
      <c r="AM82" s="595"/>
    </row>
    <row r="83" spans="1:39" ht="69" hidden="1" x14ac:dyDescent="0.35">
      <c r="A83" s="586">
        <f t="shared" si="3"/>
        <v>64</v>
      </c>
      <c r="B83" s="587" t="s">
        <v>490</v>
      </c>
      <c r="C83" s="588">
        <v>43222815</v>
      </c>
      <c r="D83" s="589" t="s">
        <v>213</v>
      </c>
      <c r="E83" s="587" t="s">
        <v>48</v>
      </c>
      <c r="F83" s="587">
        <v>1</v>
      </c>
      <c r="G83" s="590" t="s">
        <v>166</v>
      </c>
      <c r="H83" s="591">
        <v>36</v>
      </c>
      <c r="I83" s="587" t="s">
        <v>173</v>
      </c>
      <c r="J83" s="587" t="s">
        <v>35</v>
      </c>
      <c r="K83" s="587" t="s">
        <v>161</v>
      </c>
      <c r="L83" s="592">
        <f>M83/5*36</f>
        <v>486565344</v>
      </c>
      <c r="M83" s="593">
        <v>67578520</v>
      </c>
      <c r="N83" s="587" t="s">
        <v>49</v>
      </c>
      <c r="O83" s="587" t="s">
        <v>303</v>
      </c>
      <c r="P83" s="587" t="s">
        <v>308</v>
      </c>
      <c r="Q83" s="80"/>
      <c r="R83" s="608"/>
      <c r="S83" s="595"/>
      <c r="T83" s="595"/>
      <c r="U83" s="595"/>
      <c r="V83" s="595"/>
      <c r="W83" s="595"/>
      <c r="X83" s="595"/>
      <c r="Y83" s="595"/>
      <c r="Z83" s="595"/>
      <c r="AA83" s="595"/>
      <c r="AB83" s="595"/>
      <c r="AC83" s="595"/>
      <c r="AD83" s="595"/>
      <c r="AE83" s="595"/>
      <c r="AF83" s="595"/>
      <c r="AG83" s="595"/>
      <c r="AH83" s="595"/>
      <c r="AI83" s="595"/>
      <c r="AJ83" s="595"/>
      <c r="AK83" s="595"/>
      <c r="AL83" s="595"/>
      <c r="AM83" s="595"/>
    </row>
    <row r="84" spans="1:39" ht="69" hidden="1" x14ac:dyDescent="0.35">
      <c r="A84" s="586">
        <f t="shared" si="3"/>
        <v>65</v>
      </c>
      <c r="B84" s="587" t="s">
        <v>490</v>
      </c>
      <c r="C84" s="588">
        <v>93151502</v>
      </c>
      <c r="D84" s="589" t="s">
        <v>214</v>
      </c>
      <c r="E84" s="587" t="s">
        <v>48</v>
      </c>
      <c r="F84" s="587">
        <v>1</v>
      </c>
      <c r="G84" s="590" t="s">
        <v>166</v>
      </c>
      <c r="H84" s="591">
        <v>36</v>
      </c>
      <c r="I84" s="587" t="s">
        <v>305</v>
      </c>
      <c r="J84" s="587" t="s">
        <v>35</v>
      </c>
      <c r="K84" s="587" t="s">
        <v>161</v>
      </c>
      <c r="L84" s="592">
        <f>M84/5*36</f>
        <v>1169603942.3999999</v>
      </c>
      <c r="M84" s="593">
        <v>162444992</v>
      </c>
      <c r="N84" s="587" t="s">
        <v>49</v>
      </c>
      <c r="O84" s="587" t="s">
        <v>303</v>
      </c>
      <c r="P84" s="587" t="s">
        <v>308</v>
      </c>
      <c r="Q84" s="80"/>
      <c r="R84" s="608"/>
      <c r="S84" s="595"/>
      <c r="T84" s="595"/>
      <c r="U84" s="595"/>
      <c r="V84" s="595"/>
      <c r="W84" s="595"/>
      <c r="X84" s="595"/>
      <c r="Y84" s="595"/>
      <c r="Z84" s="595"/>
      <c r="AA84" s="595"/>
      <c r="AB84" s="595"/>
      <c r="AC84" s="595"/>
      <c r="AD84" s="595"/>
      <c r="AE84" s="595"/>
      <c r="AF84" s="595"/>
      <c r="AG84" s="595"/>
      <c r="AH84" s="595"/>
      <c r="AI84" s="595"/>
      <c r="AJ84" s="595"/>
      <c r="AK84" s="595"/>
      <c r="AL84" s="595"/>
      <c r="AM84" s="595"/>
    </row>
    <row r="85" spans="1:39" ht="103.15" hidden="1" customHeight="1" x14ac:dyDescent="0.35">
      <c r="A85" s="586">
        <f t="shared" si="3"/>
        <v>66</v>
      </c>
      <c r="B85" s="587" t="s">
        <v>490</v>
      </c>
      <c r="C85" s="588">
        <v>81112006</v>
      </c>
      <c r="D85" s="589" t="s">
        <v>217</v>
      </c>
      <c r="E85" s="587" t="s">
        <v>48</v>
      </c>
      <c r="F85" s="587">
        <v>1</v>
      </c>
      <c r="G85" s="590" t="s">
        <v>73</v>
      </c>
      <c r="H85" s="591">
        <v>12</v>
      </c>
      <c r="I85" s="587" t="s">
        <v>55</v>
      </c>
      <c r="J85" s="587" t="s">
        <v>35</v>
      </c>
      <c r="K85" s="587" t="s">
        <v>216</v>
      </c>
      <c r="L85" s="592">
        <v>3850000.0000000005</v>
      </c>
      <c r="M85" s="593">
        <v>3850000.0000000005</v>
      </c>
      <c r="N85" s="587" t="s">
        <v>51</v>
      </c>
      <c r="O85" s="587" t="s">
        <v>36</v>
      </c>
      <c r="P85" s="587" t="s">
        <v>308</v>
      </c>
      <c r="Q85" s="80"/>
      <c r="R85" s="608"/>
      <c r="S85" s="595"/>
      <c r="T85" s="595"/>
      <c r="U85" s="595"/>
      <c r="V85" s="595"/>
      <c r="W85" s="595"/>
      <c r="X85" s="595"/>
      <c r="Y85" s="595"/>
      <c r="Z85" s="595"/>
      <c r="AA85" s="595"/>
      <c r="AB85" s="595"/>
      <c r="AC85" s="595"/>
      <c r="AD85" s="595"/>
      <c r="AE85" s="595"/>
      <c r="AF85" s="595"/>
      <c r="AG85" s="595"/>
      <c r="AH85" s="595"/>
      <c r="AI85" s="595"/>
      <c r="AJ85" s="595"/>
      <c r="AK85" s="595"/>
      <c r="AL85" s="595"/>
      <c r="AM85" s="595"/>
    </row>
    <row r="86" spans="1:39" ht="69" hidden="1" x14ac:dyDescent="0.35">
      <c r="A86" s="586">
        <f t="shared" si="3"/>
        <v>67</v>
      </c>
      <c r="B86" s="587" t="s">
        <v>490</v>
      </c>
      <c r="C86" s="588">
        <v>43233004</v>
      </c>
      <c r="D86" s="589" t="s">
        <v>277</v>
      </c>
      <c r="E86" s="587" t="s">
        <v>48</v>
      </c>
      <c r="F86" s="587">
        <v>1</v>
      </c>
      <c r="G86" s="590" t="s">
        <v>80</v>
      </c>
      <c r="H86" s="591">
        <v>12</v>
      </c>
      <c r="I86" s="587" t="s">
        <v>285</v>
      </c>
      <c r="J86" s="587" t="s">
        <v>66</v>
      </c>
      <c r="K86" s="587" t="s">
        <v>583</v>
      </c>
      <c r="L86" s="592">
        <v>44044250.800000004</v>
      </c>
      <c r="M86" s="593">
        <v>44044251</v>
      </c>
      <c r="N86" s="587" t="s">
        <v>51</v>
      </c>
      <c r="O86" s="587" t="s">
        <v>36</v>
      </c>
      <c r="P86" s="587" t="s">
        <v>308</v>
      </c>
      <c r="Q86" s="80"/>
      <c r="R86" s="608"/>
      <c r="S86" s="595"/>
      <c r="T86" s="595"/>
      <c r="U86" s="595"/>
      <c r="V86" s="595"/>
      <c r="W86" s="595"/>
      <c r="X86" s="595"/>
      <c r="Y86" s="595"/>
      <c r="Z86" s="595"/>
      <c r="AA86" s="595"/>
      <c r="AB86" s="595"/>
      <c r="AC86" s="595"/>
      <c r="AD86" s="595"/>
      <c r="AE86" s="595"/>
      <c r="AF86" s="595"/>
      <c r="AG86" s="595"/>
      <c r="AH86" s="595"/>
      <c r="AI86" s="595"/>
      <c r="AJ86" s="595"/>
      <c r="AK86" s="595"/>
      <c r="AL86" s="595"/>
      <c r="AM86" s="595"/>
    </row>
    <row r="87" spans="1:39" ht="92.1" hidden="1" x14ac:dyDescent="0.35">
      <c r="A87" s="586">
        <f t="shared" si="3"/>
        <v>68</v>
      </c>
      <c r="B87" s="587" t="s">
        <v>490</v>
      </c>
      <c r="C87" s="588">
        <v>81111812</v>
      </c>
      <c r="D87" s="589" t="s">
        <v>165</v>
      </c>
      <c r="E87" s="587" t="s">
        <v>68</v>
      </c>
      <c r="F87" s="587">
        <v>1</v>
      </c>
      <c r="G87" s="590" t="s">
        <v>79</v>
      </c>
      <c r="H87" s="591">
        <v>12</v>
      </c>
      <c r="I87" s="587" t="s">
        <v>285</v>
      </c>
      <c r="J87" s="587" t="s">
        <v>66</v>
      </c>
      <c r="K87" s="587" t="s">
        <v>583</v>
      </c>
      <c r="L87" s="592">
        <v>31853134.500000004</v>
      </c>
      <c r="M87" s="593">
        <v>31853135</v>
      </c>
      <c r="N87" s="587" t="s">
        <v>51</v>
      </c>
      <c r="O87" s="587" t="s">
        <v>36</v>
      </c>
      <c r="P87" s="587" t="s">
        <v>308</v>
      </c>
      <c r="Q87" s="80"/>
      <c r="R87" s="608"/>
      <c r="S87" s="595"/>
      <c r="T87" s="595"/>
      <c r="U87" s="595"/>
      <c r="V87" s="595"/>
      <c r="W87" s="595"/>
      <c r="X87" s="595"/>
      <c r="Y87" s="595"/>
      <c r="Z87" s="595"/>
      <c r="AA87" s="595"/>
      <c r="AB87" s="595"/>
      <c r="AC87" s="595"/>
      <c r="AD87" s="595"/>
      <c r="AE87" s="595"/>
      <c r="AF87" s="595"/>
      <c r="AG87" s="595"/>
      <c r="AH87" s="595"/>
      <c r="AI87" s="595"/>
      <c r="AJ87" s="595"/>
      <c r="AK87" s="595"/>
      <c r="AL87" s="595"/>
      <c r="AM87" s="595"/>
    </row>
    <row r="88" spans="1:39" ht="92.1" hidden="1" x14ac:dyDescent="0.35">
      <c r="A88" s="586">
        <f t="shared" si="3"/>
        <v>69</v>
      </c>
      <c r="B88" s="587" t="s">
        <v>490</v>
      </c>
      <c r="C88" s="588">
        <v>81112501</v>
      </c>
      <c r="D88" s="589" t="s">
        <v>208</v>
      </c>
      <c r="E88" s="587" t="s">
        <v>48</v>
      </c>
      <c r="F88" s="587">
        <v>1</v>
      </c>
      <c r="G88" s="590" t="s">
        <v>79</v>
      </c>
      <c r="H88" s="591">
        <v>24</v>
      </c>
      <c r="I88" s="587" t="s">
        <v>167</v>
      </c>
      <c r="J88" s="587" t="s">
        <v>66</v>
      </c>
      <c r="K88" s="587" t="s">
        <v>583</v>
      </c>
      <c r="L88" s="592">
        <v>600000000</v>
      </c>
      <c r="M88" s="593">
        <v>300000000</v>
      </c>
      <c r="N88" s="587" t="s">
        <v>49</v>
      </c>
      <c r="O88" s="587" t="s">
        <v>445</v>
      </c>
      <c r="P88" s="587" t="s">
        <v>308</v>
      </c>
      <c r="Q88" s="80"/>
      <c r="R88" s="608"/>
      <c r="S88" s="595"/>
      <c r="T88" s="595"/>
      <c r="U88" s="595"/>
      <c r="V88" s="595"/>
      <c r="W88" s="595"/>
      <c r="X88" s="595"/>
      <c r="Y88" s="595"/>
      <c r="Z88" s="595"/>
      <c r="AA88" s="595"/>
      <c r="AB88" s="595"/>
      <c r="AC88" s="595"/>
      <c r="AD88" s="595"/>
      <c r="AE88" s="595"/>
      <c r="AF88" s="595"/>
      <c r="AG88" s="595"/>
      <c r="AH88" s="595"/>
      <c r="AI88" s="595"/>
      <c r="AJ88" s="595"/>
      <c r="AK88" s="595"/>
      <c r="AL88" s="595"/>
      <c r="AM88" s="595"/>
    </row>
    <row r="89" spans="1:39" ht="92.1" hidden="1" x14ac:dyDescent="0.35">
      <c r="A89" s="586">
        <f t="shared" si="3"/>
        <v>70</v>
      </c>
      <c r="B89" s="587" t="s">
        <v>490</v>
      </c>
      <c r="C89" s="588">
        <v>81112501</v>
      </c>
      <c r="D89" s="589" t="s">
        <v>168</v>
      </c>
      <c r="E89" s="587" t="s">
        <v>68</v>
      </c>
      <c r="F89" s="587">
        <v>1</v>
      </c>
      <c r="G89" s="590" t="s">
        <v>77</v>
      </c>
      <c r="H89" s="591" t="s">
        <v>194</v>
      </c>
      <c r="I89" s="587" t="s">
        <v>285</v>
      </c>
      <c r="J89" s="587" t="s">
        <v>66</v>
      </c>
      <c r="K89" s="587" t="s">
        <v>583</v>
      </c>
      <c r="L89" s="592">
        <v>43000000</v>
      </c>
      <c r="M89" s="593">
        <v>43000000</v>
      </c>
      <c r="N89" s="587" t="s">
        <v>51</v>
      </c>
      <c r="O89" s="587" t="s">
        <v>36</v>
      </c>
      <c r="P89" s="587" t="s">
        <v>308</v>
      </c>
      <c r="Q89" s="80"/>
      <c r="R89" s="608"/>
      <c r="S89" s="595"/>
      <c r="T89" s="595"/>
      <c r="U89" s="595"/>
      <c r="V89" s="595"/>
      <c r="W89" s="595"/>
      <c r="X89" s="595"/>
      <c r="Y89" s="595"/>
      <c r="Z89" s="595"/>
      <c r="AA89" s="595"/>
      <c r="AB89" s="595"/>
      <c r="AC89" s="595"/>
      <c r="AD89" s="595"/>
      <c r="AE89" s="595"/>
      <c r="AF89" s="595"/>
      <c r="AG89" s="595"/>
      <c r="AH89" s="595"/>
      <c r="AI89" s="595"/>
      <c r="AJ89" s="595"/>
      <c r="AK89" s="595"/>
      <c r="AL89" s="595"/>
      <c r="AM89" s="595"/>
    </row>
    <row r="90" spans="1:39" ht="114.95" hidden="1" x14ac:dyDescent="0.35">
      <c r="A90" s="586">
        <f t="shared" ref="A90:A121" si="4">SUM(A89+1)</f>
        <v>71</v>
      </c>
      <c r="B90" s="587" t="s">
        <v>490</v>
      </c>
      <c r="C90" s="588">
        <v>81112501</v>
      </c>
      <c r="D90" s="589" t="s">
        <v>169</v>
      </c>
      <c r="E90" s="587" t="s">
        <v>48</v>
      </c>
      <c r="F90" s="587">
        <v>1</v>
      </c>
      <c r="G90" s="590" t="s">
        <v>78</v>
      </c>
      <c r="H90" s="591">
        <v>12</v>
      </c>
      <c r="I90" s="587" t="s">
        <v>253</v>
      </c>
      <c r="J90" s="587" t="s">
        <v>66</v>
      </c>
      <c r="K90" s="587" t="s">
        <v>583</v>
      </c>
      <c r="L90" s="592">
        <v>11330000</v>
      </c>
      <c r="M90" s="593">
        <v>11330000</v>
      </c>
      <c r="N90" s="587" t="s">
        <v>51</v>
      </c>
      <c r="O90" s="587" t="s">
        <v>36</v>
      </c>
      <c r="P90" s="587" t="s">
        <v>308</v>
      </c>
      <c r="Q90" s="80"/>
      <c r="R90" s="608"/>
      <c r="S90" s="595"/>
      <c r="T90" s="595"/>
      <c r="U90" s="595"/>
      <c r="V90" s="595"/>
      <c r="W90" s="595"/>
      <c r="X90" s="595"/>
      <c r="Y90" s="595"/>
      <c r="Z90" s="595"/>
      <c r="AA90" s="595"/>
      <c r="AB90" s="595"/>
      <c r="AC90" s="595"/>
      <c r="AD90" s="595"/>
      <c r="AE90" s="595"/>
      <c r="AF90" s="595"/>
      <c r="AG90" s="595"/>
      <c r="AH90" s="595"/>
      <c r="AI90" s="595"/>
      <c r="AJ90" s="595"/>
      <c r="AK90" s="595"/>
      <c r="AL90" s="595"/>
      <c r="AM90" s="595"/>
    </row>
    <row r="91" spans="1:39" ht="69" hidden="1" x14ac:dyDescent="0.35">
      <c r="A91" s="586">
        <f t="shared" si="4"/>
        <v>72</v>
      </c>
      <c r="B91" s="587" t="s">
        <v>490</v>
      </c>
      <c r="C91" s="588">
        <v>93151502</v>
      </c>
      <c r="D91" s="589" t="s">
        <v>69</v>
      </c>
      <c r="E91" s="587" t="s">
        <v>68</v>
      </c>
      <c r="F91" s="587">
        <v>1</v>
      </c>
      <c r="G91" s="590" t="s">
        <v>73</v>
      </c>
      <c r="H91" s="591">
        <v>12</v>
      </c>
      <c r="I91" s="587" t="s">
        <v>285</v>
      </c>
      <c r="J91" s="587" t="s">
        <v>66</v>
      </c>
      <c r="K91" s="587" t="s">
        <v>583</v>
      </c>
      <c r="L91" s="592">
        <v>183458838</v>
      </c>
      <c r="M91" s="593">
        <v>183458838</v>
      </c>
      <c r="N91" s="587" t="s">
        <v>51</v>
      </c>
      <c r="O91" s="587" t="s">
        <v>36</v>
      </c>
      <c r="P91" s="587" t="s">
        <v>308</v>
      </c>
      <c r="Q91" s="80"/>
      <c r="R91" s="608"/>
      <c r="S91" s="595"/>
      <c r="T91" s="595"/>
      <c r="U91" s="595"/>
      <c r="V91" s="595"/>
      <c r="W91" s="595"/>
      <c r="X91" s="595"/>
      <c r="Y91" s="595"/>
      <c r="Z91" s="595"/>
      <c r="AA91" s="595"/>
      <c r="AB91" s="595"/>
      <c r="AC91" s="595"/>
      <c r="AD91" s="595"/>
      <c r="AE91" s="595"/>
      <c r="AF91" s="595"/>
      <c r="AG91" s="595"/>
      <c r="AH91" s="595"/>
      <c r="AI91" s="595"/>
      <c r="AJ91" s="595"/>
      <c r="AK91" s="595"/>
      <c r="AL91" s="595"/>
      <c r="AM91" s="595"/>
    </row>
    <row r="92" spans="1:39" ht="92.1" hidden="1" x14ac:dyDescent="0.35">
      <c r="A92" s="586">
        <f t="shared" si="4"/>
        <v>73</v>
      </c>
      <c r="B92" s="587" t="s">
        <v>490</v>
      </c>
      <c r="C92" s="588">
        <v>93151502</v>
      </c>
      <c r="D92" s="589" t="s">
        <v>209</v>
      </c>
      <c r="E92" s="587" t="s">
        <v>68</v>
      </c>
      <c r="F92" s="587">
        <v>1</v>
      </c>
      <c r="G92" s="590" t="s">
        <v>80</v>
      </c>
      <c r="H92" s="591">
        <v>12</v>
      </c>
      <c r="I92" s="587" t="s">
        <v>285</v>
      </c>
      <c r="J92" s="587" t="s">
        <v>66</v>
      </c>
      <c r="K92" s="587" t="s">
        <v>583</v>
      </c>
      <c r="L92" s="592">
        <v>252535187</v>
      </c>
      <c r="M92" s="593">
        <v>252535187</v>
      </c>
      <c r="N92" s="587" t="s">
        <v>51</v>
      </c>
      <c r="O92" s="587" t="s">
        <v>36</v>
      </c>
      <c r="P92" s="587" t="s">
        <v>308</v>
      </c>
      <c r="Q92" s="80"/>
      <c r="R92" s="608"/>
      <c r="S92" s="595"/>
      <c r="T92" s="595"/>
      <c r="U92" s="595"/>
      <c r="V92" s="595"/>
      <c r="W92" s="595"/>
      <c r="X92" s="595"/>
      <c r="Y92" s="595"/>
      <c r="Z92" s="595"/>
      <c r="AA92" s="595"/>
      <c r="AB92" s="595"/>
      <c r="AC92" s="595"/>
      <c r="AD92" s="595"/>
      <c r="AE92" s="595"/>
      <c r="AF92" s="595"/>
      <c r="AG92" s="595"/>
      <c r="AH92" s="595"/>
      <c r="AI92" s="595"/>
      <c r="AJ92" s="595"/>
      <c r="AK92" s="595"/>
      <c r="AL92" s="595"/>
      <c r="AM92" s="595"/>
    </row>
    <row r="93" spans="1:39" ht="138" hidden="1" x14ac:dyDescent="0.35">
      <c r="A93" s="586">
        <f t="shared" si="4"/>
        <v>74</v>
      </c>
      <c r="B93" s="587" t="s">
        <v>490</v>
      </c>
      <c r="C93" s="588">
        <v>81112501</v>
      </c>
      <c r="D93" s="589" t="s">
        <v>210</v>
      </c>
      <c r="E93" s="587" t="s">
        <v>68</v>
      </c>
      <c r="F93" s="587">
        <v>1</v>
      </c>
      <c r="G93" s="590" t="s">
        <v>74</v>
      </c>
      <c r="H93" s="591" t="s">
        <v>194</v>
      </c>
      <c r="I93" s="587" t="s">
        <v>285</v>
      </c>
      <c r="J93" s="587" t="s">
        <v>66</v>
      </c>
      <c r="K93" s="587" t="s">
        <v>583</v>
      </c>
      <c r="L93" s="592">
        <v>30000000</v>
      </c>
      <c r="M93" s="593">
        <v>30000000</v>
      </c>
      <c r="N93" s="587" t="s">
        <v>51</v>
      </c>
      <c r="O93" s="587" t="s">
        <v>36</v>
      </c>
      <c r="P93" s="587" t="s">
        <v>308</v>
      </c>
      <c r="Q93" s="80"/>
      <c r="R93" s="608"/>
      <c r="S93" s="595"/>
      <c r="T93" s="595"/>
      <c r="U93" s="595"/>
      <c r="V93" s="595"/>
      <c r="W93" s="595"/>
      <c r="X93" s="595"/>
      <c r="Y93" s="595"/>
      <c r="Z93" s="595"/>
      <c r="AA93" s="595"/>
      <c r="AB93" s="595"/>
      <c r="AC93" s="595"/>
      <c r="AD93" s="595"/>
      <c r="AE93" s="595"/>
      <c r="AF93" s="595"/>
      <c r="AG93" s="595"/>
      <c r="AH93" s="595"/>
      <c r="AI93" s="595"/>
      <c r="AJ93" s="595"/>
      <c r="AK93" s="595"/>
      <c r="AL93" s="595"/>
      <c r="AM93" s="595"/>
    </row>
    <row r="94" spans="1:39" ht="69" hidden="1" x14ac:dyDescent="0.35">
      <c r="A94" s="586">
        <f t="shared" si="4"/>
        <v>75</v>
      </c>
      <c r="B94" s="587" t="s">
        <v>490</v>
      </c>
      <c r="C94" s="588">
        <v>80101706</v>
      </c>
      <c r="D94" s="589" t="s">
        <v>82</v>
      </c>
      <c r="E94" s="587" t="s">
        <v>68</v>
      </c>
      <c r="F94" s="587">
        <v>1</v>
      </c>
      <c r="G94" s="590" t="s">
        <v>80</v>
      </c>
      <c r="H94" s="591" t="s">
        <v>194</v>
      </c>
      <c r="I94" s="587" t="s">
        <v>61</v>
      </c>
      <c r="J94" s="587" t="s">
        <v>66</v>
      </c>
      <c r="K94" s="587" t="s">
        <v>583</v>
      </c>
      <c r="L94" s="592">
        <v>44067420</v>
      </c>
      <c r="M94" s="593">
        <v>44067420</v>
      </c>
      <c r="N94" s="587" t="s">
        <v>51</v>
      </c>
      <c r="O94" s="587" t="s">
        <v>36</v>
      </c>
      <c r="P94" s="587" t="s">
        <v>308</v>
      </c>
      <c r="Q94" s="80"/>
      <c r="R94" s="608"/>
      <c r="S94" s="595"/>
      <c r="T94" s="595"/>
      <c r="U94" s="595"/>
      <c r="V94" s="595"/>
      <c r="W94" s="595"/>
      <c r="X94" s="595"/>
      <c r="Y94" s="595"/>
      <c r="Z94" s="595"/>
      <c r="AA94" s="595"/>
      <c r="AB94" s="595"/>
      <c r="AC94" s="595"/>
      <c r="AD94" s="595"/>
      <c r="AE94" s="595"/>
      <c r="AF94" s="595"/>
      <c r="AG94" s="595"/>
      <c r="AH94" s="595"/>
      <c r="AI94" s="595"/>
      <c r="AJ94" s="595"/>
      <c r="AK94" s="595"/>
      <c r="AL94" s="595"/>
      <c r="AM94" s="595"/>
    </row>
    <row r="95" spans="1:39" ht="69" hidden="1" x14ac:dyDescent="0.35">
      <c r="A95" s="586">
        <f t="shared" si="4"/>
        <v>76</v>
      </c>
      <c r="B95" s="587" t="s">
        <v>490</v>
      </c>
      <c r="C95" s="588">
        <v>43211507</v>
      </c>
      <c r="D95" s="589" t="s">
        <v>288</v>
      </c>
      <c r="E95" s="587" t="s">
        <v>68</v>
      </c>
      <c r="F95" s="587">
        <v>1</v>
      </c>
      <c r="G95" s="590" t="s">
        <v>74</v>
      </c>
      <c r="H95" s="591">
        <v>12</v>
      </c>
      <c r="I95" s="587" t="s">
        <v>285</v>
      </c>
      <c r="J95" s="587" t="s">
        <v>66</v>
      </c>
      <c r="K95" s="587" t="s">
        <v>583</v>
      </c>
      <c r="L95" s="592">
        <v>100000000</v>
      </c>
      <c r="M95" s="593">
        <v>100000000</v>
      </c>
      <c r="N95" s="587" t="s">
        <v>51</v>
      </c>
      <c r="O95" s="587" t="s">
        <v>36</v>
      </c>
      <c r="P95" s="587" t="s">
        <v>308</v>
      </c>
      <c r="Q95" s="80"/>
      <c r="R95" s="608"/>
      <c r="S95" s="595"/>
      <c r="T95" s="595"/>
      <c r="U95" s="595"/>
      <c r="V95" s="595"/>
      <c r="W95" s="595"/>
      <c r="X95" s="595"/>
      <c r="Y95" s="595"/>
      <c r="Z95" s="595"/>
      <c r="AA95" s="595"/>
      <c r="AB95" s="595"/>
      <c r="AC95" s="595"/>
      <c r="AD95" s="595"/>
      <c r="AE95" s="595"/>
      <c r="AF95" s="595"/>
      <c r="AG95" s="595"/>
      <c r="AH95" s="595"/>
      <c r="AI95" s="595"/>
      <c r="AJ95" s="595"/>
      <c r="AK95" s="595"/>
      <c r="AL95" s="595"/>
      <c r="AM95" s="595"/>
    </row>
    <row r="96" spans="1:39" ht="69" hidden="1" x14ac:dyDescent="0.35">
      <c r="A96" s="586">
        <f t="shared" si="4"/>
        <v>77</v>
      </c>
      <c r="B96" s="587" t="s">
        <v>265</v>
      </c>
      <c r="C96" s="588">
        <v>80101706</v>
      </c>
      <c r="D96" s="589" t="s">
        <v>501</v>
      </c>
      <c r="E96" s="587" t="s">
        <v>48</v>
      </c>
      <c r="F96" s="587">
        <v>1</v>
      </c>
      <c r="G96" s="590" t="s">
        <v>73</v>
      </c>
      <c r="H96" s="591">
        <v>5</v>
      </c>
      <c r="I96" s="587" t="s">
        <v>61</v>
      </c>
      <c r="J96" s="587" t="s">
        <v>66</v>
      </c>
      <c r="K96" s="587" t="s">
        <v>473</v>
      </c>
      <c r="L96" s="592">
        <v>19475000</v>
      </c>
      <c r="M96" s="593">
        <v>19475000</v>
      </c>
      <c r="N96" s="587" t="s">
        <v>51</v>
      </c>
      <c r="O96" s="587" t="s">
        <v>36</v>
      </c>
      <c r="P96" s="587" t="s">
        <v>502</v>
      </c>
      <c r="Q96" s="80"/>
      <c r="R96" s="610" t="s">
        <v>555</v>
      </c>
      <c r="S96" s="595"/>
      <c r="T96" s="595"/>
      <c r="U96" s="595"/>
      <c r="V96" s="595"/>
      <c r="W96" s="595"/>
      <c r="X96" s="595"/>
      <c r="Y96" s="595"/>
      <c r="Z96" s="595"/>
      <c r="AA96" s="595"/>
      <c r="AB96" s="595"/>
      <c r="AC96" s="595"/>
      <c r="AD96" s="595"/>
      <c r="AE96" s="595"/>
      <c r="AF96" s="595"/>
      <c r="AG96" s="595"/>
      <c r="AH96" s="595"/>
      <c r="AI96" s="595"/>
      <c r="AJ96" s="595"/>
      <c r="AK96" s="595"/>
      <c r="AL96" s="595"/>
      <c r="AM96" s="595"/>
    </row>
    <row r="97" spans="1:39" ht="116.25" x14ac:dyDescent="0.25">
      <c r="A97" s="586">
        <f t="shared" si="4"/>
        <v>78</v>
      </c>
      <c r="B97" s="587" t="s">
        <v>490</v>
      </c>
      <c r="C97" s="588">
        <v>81112501</v>
      </c>
      <c r="D97" s="589" t="s">
        <v>269</v>
      </c>
      <c r="E97" s="587" t="s">
        <v>68</v>
      </c>
      <c r="F97" s="587">
        <v>1</v>
      </c>
      <c r="G97" s="590" t="s">
        <v>76</v>
      </c>
      <c r="H97" s="591">
        <v>5</v>
      </c>
      <c r="I97" s="587" t="s">
        <v>61</v>
      </c>
      <c r="J97" s="587" t="s">
        <v>66</v>
      </c>
      <c r="K97" s="587" t="s">
        <v>493</v>
      </c>
      <c r="L97" s="592">
        <v>250000000</v>
      </c>
      <c r="M97" s="593">
        <v>250000000</v>
      </c>
      <c r="N97" s="587" t="s">
        <v>51</v>
      </c>
      <c r="O97" s="587" t="s">
        <v>36</v>
      </c>
      <c r="P97" s="587" t="s">
        <v>308</v>
      </c>
      <c r="Q97" s="80"/>
      <c r="R97" s="608"/>
      <c r="S97" s="595"/>
      <c r="T97" s="595"/>
      <c r="U97" s="595"/>
      <c r="V97" s="595"/>
      <c r="W97" s="595"/>
      <c r="X97" s="595"/>
      <c r="Y97" s="595"/>
      <c r="Z97" s="595"/>
      <c r="AA97" s="595"/>
      <c r="AB97" s="595"/>
      <c r="AC97" s="595"/>
      <c r="AD97" s="595"/>
      <c r="AE97" s="595"/>
      <c r="AF97" s="595"/>
      <c r="AG97" s="595"/>
      <c r="AH97" s="595"/>
      <c r="AI97" s="595"/>
      <c r="AJ97" s="595"/>
      <c r="AK97" s="595"/>
      <c r="AL97" s="595"/>
      <c r="AM97" s="595"/>
    </row>
    <row r="98" spans="1:39" ht="116.25" x14ac:dyDescent="0.25">
      <c r="A98" s="586">
        <f t="shared" si="4"/>
        <v>79</v>
      </c>
      <c r="B98" s="587" t="s">
        <v>490</v>
      </c>
      <c r="C98" s="588">
        <v>81112501</v>
      </c>
      <c r="D98" s="589" t="s">
        <v>268</v>
      </c>
      <c r="E98" s="587" t="s">
        <v>68</v>
      </c>
      <c r="F98" s="587">
        <v>1</v>
      </c>
      <c r="G98" s="590" t="s">
        <v>80</v>
      </c>
      <c r="H98" s="591">
        <v>5</v>
      </c>
      <c r="I98" s="587" t="s">
        <v>61</v>
      </c>
      <c r="J98" s="587" t="s">
        <v>66</v>
      </c>
      <c r="K98" s="587" t="s">
        <v>493</v>
      </c>
      <c r="L98" s="592">
        <v>250000000</v>
      </c>
      <c r="M98" s="593">
        <v>250000000</v>
      </c>
      <c r="N98" s="587" t="s">
        <v>51</v>
      </c>
      <c r="O98" s="587" t="s">
        <v>36</v>
      </c>
      <c r="P98" s="587" t="s">
        <v>308</v>
      </c>
      <c r="Q98" s="80"/>
      <c r="R98" s="608"/>
      <c r="S98" s="595"/>
      <c r="T98" s="595"/>
      <c r="U98" s="595"/>
      <c r="V98" s="595"/>
      <c r="W98" s="595"/>
      <c r="X98" s="595"/>
      <c r="Y98" s="595"/>
      <c r="Z98" s="595"/>
      <c r="AA98" s="595"/>
      <c r="AB98" s="595"/>
      <c r="AC98" s="595"/>
      <c r="AD98" s="595"/>
      <c r="AE98" s="595"/>
      <c r="AF98" s="595"/>
      <c r="AG98" s="595"/>
      <c r="AH98" s="595"/>
      <c r="AI98" s="595"/>
      <c r="AJ98" s="595"/>
      <c r="AK98" s="595"/>
      <c r="AL98" s="595"/>
      <c r="AM98" s="595"/>
    </row>
    <row r="99" spans="1:39" ht="69" hidden="1" x14ac:dyDescent="0.35">
      <c r="A99" s="586">
        <f t="shared" si="4"/>
        <v>80</v>
      </c>
      <c r="B99" s="587" t="s">
        <v>490</v>
      </c>
      <c r="C99" s="588">
        <v>44111500</v>
      </c>
      <c r="D99" s="589" t="s">
        <v>270</v>
      </c>
      <c r="E99" s="587" t="s">
        <v>68</v>
      </c>
      <c r="F99" s="587">
        <v>1</v>
      </c>
      <c r="G99" s="590" t="s">
        <v>77</v>
      </c>
      <c r="H99" s="591">
        <v>12</v>
      </c>
      <c r="I99" s="587" t="s">
        <v>173</v>
      </c>
      <c r="J99" s="587" t="s">
        <v>66</v>
      </c>
      <c r="K99" s="587" t="s">
        <v>583</v>
      </c>
      <c r="L99" s="592">
        <v>370858400.00000006</v>
      </c>
      <c r="M99" s="593">
        <v>370858400.00000006</v>
      </c>
      <c r="N99" s="587" t="s">
        <v>51</v>
      </c>
      <c r="O99" s="587" t="s">
        <v>36</v>
      </c>
      <c r="P99" s="587" t="s">
        <v>308</v>
      </c>
      <c r="Q99" s="80"/>
      <c r="R99" s="608"/>
      <c r="S99" s="595"/>
      <c r="T99" s="595"/>
      <c r="U99" s="595"/>
      <c r="V99" s="595"/>
      <c r="W99" s="595"/>
      <c r="X99" s="595"/>
      <c r="Y99" s="595"/>
      <c r="Z99" s="595"/>
      <c r="AA99" s="595"/>
      <c r="AB99" s="595"/>
      <c r="AC99" s="595"/>
      <c r="AD99" s="595"/>
      <c r="AE99" s="595"/>
      <c r="AF99" s="595"/>
      <c r="AG99" s="595"/>
      <c r="AH99" s="595"/>
      <c r="AI99" s="595"/>
      <c r="AJ99" s="595"/>
      <c r="AK99" s="595"/>
      <c r="AL99" s="595"/>
      <c r="AM99" s="595"/>
    </row>
    <row r="100" spans="1:39" ht="69" hidden="1" x14ac:dyDescent="0.35">
      <c r="A100" s="586">
        <f t="shared" si="4"/>
        <v>81</v>
      </c>
      <c r="B100" s="587" t="s">
        <v>490</v>
      </c>
      <c r="C100" s="588">
        <v>43233205</v>
      </c>
      <c r="D100" s="589" t="s">
        <v>291</v>
      </c>
      <c r="E100" s="587" t="s">
        <v>68</v>
      </c>
      <c r="F100" s="587">
        <v>1</v>
      </c>
      <c r="G100" s="590" t="s">
        <v>77</v>
      </c>
      <c r="H100" s="591" t="s">
        <v>194</v>
      </c>
      <c r="I100" s="587" t="s">
        <v>253</v>
      </c>
      <c r="J100" s="587" t="s">
        <v>66</v>
      </c>
      <c r="K100" s="587" t="s">
        <v>583</v>
      </c>
      <c r="L100" s="592">
        <v>37400000</v>
      </c>
      <c r="M100" s="593">
        <v>37400000</v>
      </c>
      <c r="N100" s="587" t="s">
        <v>51</v>
      </c>
      <c r="O100" s="587" t="s">
        <v>36</v>
      </c>
      <c r="P100" s="587" t="s">
        <v>308</v>
      </c>
      <c r="Q100" s="80"/>
      <c r="R100" s="608"/>
      <c r="S100" s="595"/>
      <c r="T100" s="595"/>
      <c r="U100" s="595"/>
      <c r="V100" s="595"/>
      <c r="W100" s="595"/>
      <c r="X100" s="595"/>
      <c r="Y100" s="595"/>
      <c r="Z100" s="595"/>
      <c r="AA100" s="595"/>
      <c r="AB100" s="595"/>
      <c r="AC100" s="595"/>
      <c r="AD100" s="595"/>
      <c r="AE100" s="595"/>
      <c r="AF100" s="595"/>
      <c r="AG100" s="595"/>
      <c r="AH100" s="595"/>
      <c r="AI100" s="595"/>
      <c r="AJ100" s="595"/>
      <c r="AK100" s="595"/>
      <c r="AL100" s="595"/>
      <c r="AM100" s="595"/>
    </row>
    <row r="101" spans="1:39" ht="69" hidden="1" x14ac:dyDescent="0.35">
      <c r="A101" s="586">
        <f t="shared" si="4"/>
        <v>82</v>
      </c>
      <c r="B101" s="587" t="s">
        <v>490</v>
      </c>
      <c r="C101" s="588">
        <v>43233501</v>
      </c>
      <c r="D101" s="589" t="s">
        <v>292</v>
      </c>
      <c r="E101" s="587" t="s">
        <v>68</v>
      </c>
      <c r="F101" s="587">
        <v>1</v>
      </c>
      <c r="G101" s="590" t="s">
        <v>77</v>
      </c>
      <c r="H101" s="591" t="s">
        <v>194</v>
      </c>
      <c r="I101" s="587" t="s">
        <v>253</v>
      </c>
      <c r="J101" s="587" t="s">
        <v>66</v>
      </c>
      <c r="K101" s="587" t="s">
        <v>583</v>
      </c>
      <c r="L101" s="592">
        <v>40000000</v>
      </c>
      <c r="M101" s="593">
        <v>40000000</v>
      </c>
      <c r="N101" s="587" t="s">
        <v>51</v>
      </c>
      <c r="O101" s="587" t="s">
        <v>36</v>
      </c>
      <c r="P101" s="587" t="s">
        <v>308</v>
      </c>
      <c r="Q101" s="80"/>
      <c r="R101" s="608"/>
      <c r="S101" s="595"/>
      <c r="T101" s="595"/>
      <c r="U101" s="595"/>
      <c r="V101" s="595"/>
      <c r="W101" s="595"/>
      <c r="X101" s="595"/>
      <c r="Y101" s="595"/>
      <c r="Z101" s="595"/>
      <c r="AA101" s="595"/>
      <c r="AB101" s="595"/>
      <c r="AC101" s="595"/>
      <c r="AD101" s="595"/>
      <c r="AE101" s="595"/>
      <c r="AF101" s="595"/>
      <c r="AG101" s="595"/>
      <c r="AH101" s="595"/>
      <c r="AI101" s="595"/>
      <c r="AJ101" s="595"/>
      <c r="AK101" s="595"/>
      <c r="AL101" s="595"/>
      <c r="AM101" s="595"/>
    </row>
    <row r="102" spans="1:39" ht="69" hidden="1" x14ac:dyDescent="0.35">
      <c r="A102" s="586">
        <f t="shared" si="4"/>
        <v>83</v>
      </c>
      <c r="B102" s="587" t="s">
        <v>490</v>
      </c>
      <c r="C102" s="588">
        <v>43231508</v>
      </c>
      <c r="D102" s="589" t="s">
        <v>295</v>
      </c>
      <c r="E102" s="587" t="s">
        <v>68</v>
      </c>
      <c r="F102" s="587">
        <v>1</v>
      </c>
      <c r="G102" s="590" t="s">
        <v>77</v>
      </c>
      <c r="H102" s="591" t="s">
        <v>194</v>
      </c>
      <c r="I102" s="587" t="s">
        <v>253</v>
      </c>
      <c r="J102" s="587" t="s">
        <v>66</v>
      </c>
      <c r="K102" s="587" t="s">
        <v>583</v>
      </c>
      <c r="L102" s="592">
        <v>81400000</v>
      </c>
      <c r="M102" s="593">
        <v>81400000</v>
      </c>
      <c r="N102" s="587" t="s">
        <v>51</v>
      </c>
      <c r="O102" s="587" t="s">
        <v>36</v>
      </c>
      <c r="P102" s="587" t="s">
        <v>308</v>
      </c>
      <c r="Q102" s="80"/>
      <c r="R102" s="608"/>
      <c r="S102" s="595"/>
      <c r="T102" s="595"/>
      <c r="U102" s="595"/>
      <c r="V102" s="595"/>
      <c r="W102" s="595"/>
      <c r="X102" s="595"/>
      <c r="Y102" s="595"/>
      <c r="Z102" s="595"/>
      <c r="AA102" s="595"/>
      <c r="AB102" s="595"/>
      <c r="AC102" s="595"/>
      <c r="AD102" s="595"/>
      <c r="AE102" s="595"/>
      <c r="AF102" s="595"/>
      <c r="AG102" s="595"/>
      <c r="AH102" s="595"/>
      <c r="AI102" s="595"/>
      <c r="AJ102" s="595"/>
      <c r="AK102" s="595"/>
      <c r="AL102" s="595"/>
      <c r="AM102" s="595"/>
    </row>
    <row r="103" spans="1:39" ht="69" hidden="1" x14ac:dyDescent="0.35">
      <c r="A103" s="586">
        <f t="shared" si="4"/>
        <v>84</v>
      </c>
      <c r="B103" s="587" t="s">
        <v>490</v>
      </c>
      <c r="C103" s="588">
        <v>43232703</v>
      </c>
      <c r="D103" s="589" t="s">
        <v>293</v>
      </c>
      <c r="E103" s="587" t="s">
        <v>68</v>
      </c>
      <c r="F103" s="587">
        <v>1</v>
      </c>
      <c r="G103" s="590" t="s">
        <v>78</v>
      </c>
      <c r="H103" s="591" t="s">
        <v>232</v>
      </c>
      <c r="I103" s="587" t="s">
        <v>253</v>
      </c>
      <c r="J103" s="587" t="s">
        <v>66</v>
      </c>
      <c r="K103" s="587" t="s">
        <v>583</v>
      </c>
      <c r="L103" s="592">
        <v>60000000</v>
      </c>
      <c r="M103" s="593">
        <v>60000000</v>
      </c>
      <c r="N103" s="587" t="s">
        <v>51</v>
      </c>
      <c r="O103" s="587" t="s">
        <v>36</v>
      </c>
      <c r="P103" s="587" t="s">
        <v>308</v>
      </c>
      <c r="Q103" s="80"/>
      <c r="R103" s="608"/>
      <c r="S103" s="595"/>
      <c r="T103" s="595"/>
      <c r="U103" s="595"/>
      <c r="V103" s="595"/>
      <c r="W103" s="595"/>
      <c r="X103" s="595"/>
      <c r="Y103" s="595"/>
      <c r="Z103" s="595"/>
      <c r="AA103" s="595"/>
      <c r="AB103" s="595"/>
      <c r="AC103" s="595"/>
      <c r="AD103" s="595"/>
      <c r="AE103" s="595"/>
      <c r="AF103" s="595"/>
      <c r="AG103" s="595"/>
      <c r="AH103" s="595"/>
      <c r="AI103" s="595"/>
      <c r="AJ103" s="595"/>
      <c r="AK103" s="595"/>
      <c r="AL103" s="595"/>
      <c r="AM103" s="595"/>
    </row>
    <row r="104" spans="1:39" ht="69" hidden="1" x14ac:dyDescent="0.35">
      <c r="A104" s="586">
        <f t="shared" si="4"/>
        <v>85</v>
      </c>
      <c r="B104" s="587" t="s">
        <v>490</v>
      </c>
      <c r="C104" s="588">
        <v>43211508</v>
      </c>
      <c r="D104" s="612" t="s">
        <v>494</v>
      </c>
      <c r="E104" s="587" t="s">
        <v>48</v>
      </c>
      <c r="F104" s="587">
        <v>1</v>
      </c>
      <c r="G104" s="590" t="s">
        <v>180</v>
      </c>
      <c r="H104" s="591" t="s">
        <v>156</v>
      </c>
      <c r="I104" s="587" t="s">
        <v>285</v>
      </c>
      <c r="J104" s="587" t="s">
        <v>35</v>
      </c>
      <c r="K104" s="587" t="s">
        <v>322</v>
      </c>
      <c r="L104" s="592">
        <v>80000000</v>
      </c>
      <c r="M104" s="593">
        <v>80000000</v>
      </c>
      <c r="N104" s="587" t="s">
        <v>51</v>
      </c>
      <c r="O104" s="587" t="s">
        <v>36</v>
      </c>
      <c r="P104" s="587" t="s">
        <v>308</v>
      </c>
      <c r="Q104" s="80"/>
      <c r="R104" s="608"/>
      <c r="S104" s="595"/>
      <c r="T104" s="595"/>
      <c r="U104" s="595"/>
      <c r="V104" s="595"/>
      <c r="W104" s="595"/>
      <c r="X104" s="595"/>
      <c r="Y104" s="595"/>
      <c r="Z104" s="595"/>
      <c r="AA104" s="595"/>
      <c r="AB104" s="595"/>
      <c r="AC104" s="595"/>
      <c r="AD104" s="595"/>
      <c r="AE104" s="595"/>
      <c r="AF104" s="595"/>
      <c r="AG104" s="595"/>
      <c r="AH104" s="595"/>
      <c r="AI104" s="595"/>
      <c r="AJ104" s="595"/>
      <c r="AK104" s="595"/>
      <c r="AL104" s="595"/>
      <c r="AM104" s="595"/>
    </row>
    <row r="105" spans="1:39" ht="69" hidden="1" x14ac:dyDescent="0.35">
      <c r="A105" s="586">
        <f t="shared" si="4"/>
        <v>86</v>
      </c>
      <c r="B105" s="587" t="s">
        <v>490</v>
      </c>
      <c r="C105" s="588">
        <v>43232309</v>
      </c>
      <c r="D105" s="589" t="s">
        <v>495</v>
      </c>
      <c r="E105" s="587" t="s">
        <v>68</v>
      </c>
      <c r="F105" s="587">
        <v>1</v>
      </c>
      <c r="G105" s="590" t="s">
        <v>80</v>
      </c>
      <c r="H105" s="591">
        <v>12</v>
      </c>
      <c r="I105" s="587" t="s">
        <v>285</v>
      </c>
      <c r="J105" s="587" t="s">
        <v>66</v>
      </c>
      <c r="K105" s="587" t="s">
        <v>583</v>
      </c>
      <c r="L105" s="592">
        <v>90580000</v>
      </c>
      <c r="M105" s="593">
        <v>90580000</v>
      </c>
      <c r="N105" s="587" t="s">
        <v>51</v>
      </c>
      <c r="O105" s="587" t="s">
        <v>36</v>
      </c>
      <c r="P105" s="587" t="s">
        <v>308</v>
      </c>
      <c r="Q105" s="80"/>
      <c r="R105" s="608"/>
      <c r="S105" s="595"/>
      <c r="T105" s="595"/>
      <c r="U105" s="595"/>
      <c r="V105" s="595"/>
      <c r="W105" s="595"/>
      <c r="X105" s="595"/>
      <c r="Y105" s="595"/>
      <c r="Z105" s="595"/>
      <c r="AA105" s="595"/>
      <c r="AB105" s="595"/>
      <c r="AC105" s="595"/>
      <c r="AD105" s="595"/>
      <c r="AE105" s="595"/>
      <c r="AF105" s="595"/>
      <c r="AG105" s="595"/>
      <c r="AH105" s="595"/>
      <c r="AI105" s="595"/>
      <c r="AJ105" s="595"/>
      <c r="AK105" s="595"/>
      <c r="AL105" s="595"/>
      <c r="AM105" s="595"/>
    </row>
    <row r="106" spans="1:39" ht="69" hidden="1" x14ac:dyDescent="0.35">
      <c r="A106" s="586">
        <f t="shared" si="4"/>
        <v>87</v>
      </c>
      <c r="B106" s="587" t="s">
        <v>490</v>
      </c>
      <c r="C106" s="588">
        <v>43211508</v>
      </c>
      <c r="D106" s="589" t="s">
        <v>496</v>
      </c>
      <c r="E106" s="587" t="s">
        <v>68</v>
      </c>
      <c r="F106" s="587">
        <v>1</v>
      </c>
      <c r="G106" s="590" t="s">
        <v>80</v>
      </c>
      <c r="H106" s="591">
        <v>12</v>
      </c>
      <c r="I106" s="587" t="s">
        <v>285</v>
      </c>
      <c r="J106" s="587" t="s">
        <v>66</v>
      </c>
      <c r="K106" s="587" t="s">
        <v>583</v>
      </c>
      <c r="L106" s="592">
        <v>50000000</v>
      </c>
      <c r="M106" s="593">
        <v>50000000</v>
      </c>
      <c r="N106" s="587" t="s">
        <v>51</v>
      </c>
      <c r="O106" s="587" t="s">
        <v>36</v>
      </c>
      <c r="P106" s="587" t="s">
        <v>308</v>
      </c>
      <c r="Q106" s="80"/>
      <c r="R106" s="608"/>
      <c r="S106" s="595"/>
      <c r="T106" s="595"/>
      <c r="U106" s="595"/>
      <c r="V106" s="595"/>
      <c r="W106" s="595"/>
      <c r="X106" s="595"/>
      <c r="Y106" s="595"/>
      <c r="Z106" s="595"/>
      <c r="AA106" s="595"/>
      <c r="AB106" s="595"/>
      <c r="AC106" s="595"/>
      <c r="AD106" s="595"/>
      <c r="AE106" s="595"/>
      <c r="AF106" s="595"/>
      <c r="AG106" s="595"/>
      <c r="AH106" s="595"/>
      <c r="AI106" s="595"/>
      <c r="AJ106" s="595"/>
      <c r="AK106" s="595"/>
      <c r="AL106" s="595"/>
      <c r="AM106" s="595"/>
    </row>
    <row r="107" spans="1:39" ht="69" hidden="1" x14ac:dyDescent="0.35">
      <c r="A107" s="586">
        <f t="shared" si="4"/>
        <v>88</v>
      </c>
      <c r="B107" s="587" t="s">
        <v>490</v>
      </c>
      <c r="C107" s="588">
        <v>43211508</v>
      </c>
      <c r="D107" s="612" t="s">
        <v>497</v>
      </c>
      <c r="E107" s="587" t="s">
        <v>48</v>
      </c>
      <c r="F107" s="587">
        <v>1</v>
      </c>
      <c r="G107" s="590" t="s">
        <v>180</v>
      </c>
      <c r="H107" s="591" t="s">
        <v>156</v>
      </c>
      <c r="I107" s="587" t="s">
        <v>285</v>
      </c>
      <c r="J107" s="587" t="s">
        <v>35</v>
      </c>
      <c r="K107" s="587" t="s">
        <v>322</v>
      </c>
      <c r="L107" s="592">
        <v>80000000</v>
      </c>
      <c r="M107" s="593">
        <v>80000000</v>
      </c>
      <c r="N107" s="587" t="s">
        <v>51</v>
      </c>
      <c r="O107" s="587" t="s">
        <v>36</v>
      </c>
      <c r="P107" s="587" t="s">
        <v>308</v>
      </c>
      <c r="Q107" s="80"/>
      <c r="R107" s="608"/>
      <c r="S107" s="595"/>
      <c r="T107" s="595"/>
      <c r="U107" s="595"/>
      <c r="V107" s="595"/>
      <c r="W107" s="595"/>
      <c r="X107" s="595"/>
      <c r="Y107" s="595"/>
      <c r="Z107" s="595"/>
      <c r="AA107" s="595"/>
      <c r="AB107" s="595"/>
      <c r="AC107" s="595"/>
      <c r="AD107" s="595"/>
      <c r="AE107" s="595"/>
      <c r="AF107" s="595"/>
      <c r="AG107" s="595"/>
      <c r="AH107" s="595"/>
      <c r="AI107" s="595"/>
      <c r="AJ107" s="595"/>
      <c r="AK107" s="595"/>
      <c r="AL107" s="595"/>
      <c r="AM107" s="595"/>
    </row>
    <row r="108" spans="1:39" ht="69" hidden="1" x14ac:dyDescent="0.35">
      <c r="A108" s="586">
        <f t="shared" si="4"/>
        <v>89</v>
      </c>
      <c r="B108" s="587" t="s">
        <v>265</v>
      </c>
      <c r="C108" s="588">
        <v>80101706</v>
      </c>
      <c r="D108" s="589" t="s">
        <v>501</v>
      </c>
      <c r="E108" s="587" t="s">
        <v>48</v>
      </c>
      <c r="F108" s="587">
        <v>1</v>
      </c>
      <c r="G108" s="590" t="s">
        <v>73</v>
      </c>
      <c r="H108" s="591">
        <v>5</v>
      </c>
      <c r="I108" s="587" t="s">
        <v>61</v>
      </c>
      <c r="J108" s="587" t="s">
        <v>66</v>
      </c>
      <c r="K108" s="587" t="s">
        <v>473</v>
      </c>
      <c r="L108" s="592">
        <v>10000000</v>
      </c>
      <c r="M108" s="593">
        <v>10000000</v>
      </c>
      <c r="N108" s="587" t="s">
        <v>51</v>
      </c>
      <c r="O108" s="587" t="s">
        <v>36</v>
      </c>
      <c r="P108" s="587" t="s">
        <v>502</v>
      </c>
      <c r="Q108" s="80"/>
      <c r="R108" s="610" t="s">
        <v>298</v>
      </c>
      <c r="S108" s="595"/>
      <c r="T108" s="595"/>
      <c r="U108" s="595"/>
      <c r="V108" s="595"/>
      <c r="W108" s="595"/>
      <c r="X108" s="595"/>
      <c r="Y108" s="595"/>
      <c r="Z108" s="595"/>
      <c r="AA108" s="595"/>
      <c r="AB108" s="595"/>
      <c r="AC108" s="595"/>
      <c r="AD108" s="595"/>
      <c r="AE108" s="595"/>
      <c r="AF108" s="595"/>
      <c r="AG108" s="595"/>
      <c r="AH108" s="595"/>
      <c r="AI108" s="595"/>
      <c r="AJ108" s="595"/>
      <c r="AK108" s="595"/>
      <c r="AL108" s="595"/>
      <c r="AM108" s="595"/>
    </row>
    <row r="109" spans="1:39" ht="69" hidden="1" x14ac:dyDescent="0.35">
      <c r="A109" s="586">
        <f t="shared" si="4"/>
        <v>90</v>
      </c>
      <c r="B109" s="587" t="s">
        <v>500</v>
      </c>
      <c r="C109" s="588">
        <v>32101617</v>
      </c>
      <c r="D109" s="589" t="s">
        <v>178</v>
      </c>
      <c r="E109" s="587" t="s">
        <v>48</v>
      </c>
      <c r="F109" s="587">
        <v>12</v>
      </c>
      <c r="G109" s="590" t="s">
        <v>81</v>
      </c>
      <c r="H109" s="591" t="s">
        <v>194</v>
      </c>
      <c r="I109" s="587" t="s">
        <v>55</v>
      </c>
      <c r="J109" s="587" t="s">
        <v>35</v>
      </c>
      <c r="K109" s="587" t="s">
        <v>161</v>
      </c>
      <c r="L109" s="592">
        <v>3000000</v>
      </c>
      <c r="M109" s="593">
        <v>3000000</v>
      </c>
      <c r="N109" s="587" t="s">
        <v>51</v>
      </c>
      <c r="O109" s="587" t="s">
        <v>36</v>
      </c>
      <c r="P109" s="587" t="s">
        <v>321</v>
      </c>
      <c r="Q109" s="80"/>
      <c r="R109" s="608"/>
      <c r="S109" s="595"/>
      <c r="T109" s="595"/>
      <c r="U109" s="595"/>
      <c r="V109" s="595"/>
      <c r="W109" s="595"/>
      <c r="X109" s="595"/>
      <c r="Y109" s="595"/>
      <c r="Z109" s="595"/>
      <c r="AA109" s="595"/>
      <c r="AB109" s="595"/>
      <c r="AC109" s="595"/>
      <c r="AD109" s="595"/>
      <c r="AE109" s="595"/>
      <c r="AF109" s="595"/>
      <c r="AG109" s="595"/>
      <c r="AH109" s="595"/>
      <c r="AI109" s="595"/>
      <c r="AJ109" s="595"/>
      <c r="AK109" s="595"/>
      <c r="AL109" s="595"/>
      <c r="AM109" s="595"/>
    </row>
    <row r="110" spans="1:39" ht="69" hidden="1" x14ac:dyDescent="0.35">
      <c r="A110" s="586">
        <f t="shared" si="4"/>
        <v>91</v>
      </c>
      <c r="B110" s="587" t="s">
        <v>500</v>
      </c>
      <c r="C110" s="588">
        <v>80101706</v>
      </c>
      <c r="D110" s="589" t="s">
        <v>588</v>
      </c>
      <c r="E110" s="587" t="s">
        <v>68</v>
      </c>
      <c r="F110" s="587">
        <v>1</v>
      </c>
      <c r="G110" s="590" t="s">
        <v>73</v>
      </c>
      <c r="H110" s="591" t="s">
        <v>157</v>
      </c>
      <c r="I110" s="587" t="s">
        <v>61</v>
      </c>
      <c r="J110" s="587" t="s">
        <v>35</v>
      </c>
      <c r="K110" s="587" t="s">
        <v>439</v>
      </c>
      <c r="L110" s="592">
        <v>15000000</v>
      </c>
      <c r="M110" s="593">
        <v>15000000</v>
      </c>
      <c r="N110" s="587" t="s">
        <v>51</v>
      </c>
      <c r="O110" s="587" t="s">
        <v>36</v>
      </c>
      <c r="P110" s="587" t="s">
        <v>321</v>
      </c>
      <c r="Q110" s="80"/>
      <c r="R110" s="608"/>
      <c r="S110" s="595"/>
      <c r="T110" s="595"/>
      <c r="U110" s="595"/>
      <c r="V110" s="595"/>
      <c r="W110" s="595"/>
      <c r="X110" s="595"/>
      <c r="Y110" s="595"/>
      <c r="Z110" s="595"/>
      <c r="AA110" s="595"/>
      <c r="AB110" s="595"/>
      <c r="AC110" s="595"/>
      <c r="AD110" s="595"/>
      <c r="AE110" s="595"/>
      <c r="AF110" s="595"/>
      <c r="AG110" s="595"/>
      <c r="AH110" s="595"/>
      <c r="AI110" s="595"/>
      <c r="AJ110" s="595"/>
      <c r="AK110" s="595"/>
      <c r="AL110" s="595"/>
      <c r="AM110" s="595"/>
    </row>
    <row r="111" spans="1:39" ht="69" hidden="1" x14ac:dyDescent="0.35">
      <c r="A111" s="586">
        <f t="shared" si="4"/>
        <v>92</v>
      </c>
      <c r="B111" s="587" t="s">
        <v>265</v>
      </c>
      <c r="C111" s="588">
        <v>80101706</v>
      </c>
      <c r="D111" s="589" t="s">
        <v>501</v>
      </c>
      <c r="E111" s="587" t="s">
        <v>48</v>
      </c>
      <c r="F111" s="587">
        <v>1</v>
      </c>
      <c r="G111" s="590" t="s">
        <v>73</v>
      </c>
      <c r="H111" s="591">
        <v>5</v>
      </c>
      <c r="I111" s="587" t="s">
        <v>61</v>
      </c>
      <c r="J111" s="587" t="s">
        <v>66</v>
      </c>
      <c r="K111" s="587" t="s">
        <v>473</v>
      </c>
      <c r="L111" s="592">
        <v>55000000</v>
      </c>
      <c r="M111" s="593">
        <v>55000000</v>
      </c>
      <c r="N111" s="587" t="s">
        <v>51</v>
      </c>
      <c r="O111" s="587" t="s">
        <v>36</v>
      </c>
      <c r="P111" s="587" t="s">
        <v>502</v>
      </c>
      <c r="Q111" s="80"/>
      <c r="R111" s="610" t="s">
        <v>556</v>
      </c>
      <c r="S111" s="595"/>
      <c r="T111" s="595"/>
      <c r="U111" s="595"/>
      <c r="V111" s="595"/>
      <c r="W111" s="595"/>
      <c r="X111" s="595"/>
      <c r="Y111" s="595"/>
      <c r="Z111" s="595"/>
      <c r="AA111" s="595"/>
      <c r="AB111" s="595"/>
      <c r="AC111" s="595"/>
      <c r="AD111" s="595"/>
      <c r="AE111" s="595"/>
      <c r="AF111" s="595"/>
      <c r="AG111" s="595"/>
      <c r="AH111" s="595"/>
      <c r="AI111" s="595"/>
      <c r="AJ111" s="595"/>
      <c r="AK111" s="595"/>
      <c r="AL111" s="595"/>
      <c r="AM111" s="595"/>
    </row>
    <row r="112" spans="1:39" ht="69" hidden="1" x14ac:dyDescent="0.35">
      <c r="A112" s="586">
        <f t="shared" si="4"/>
        <v>93</v>
      </c>
      <c r="B112" s="587" t="s">
        <v>503</v>
      </c>
      <c r="C112" s="588">
        <v>80101706</v>
      </c>
      <c r="D112" s="589" t="s">
        <v>504</v>
      </c>
      <c r="E112" s="587" t="s">
        <v>48</v>
      </c>
      <c r="F112" s="587">
        <v>1</v>
      </c>
      <c r="G112" s="590" t="s">
        <v>73</v>
      </c>
      <c r="H112" s="591">
        <v>5</v>
      </c>
      <c r="I112" s="587" t="s">
        <v>61</v>
      </c>
      <c r="J112" s="587" t="s">
        <v>66</v>
      </c>
      <c r="K112" s="587" t="s">
        <v>473</v>
      </c>
      <c r="L112" s="592">
        <v>19475000</v>
      </c>
      <c r="M112" s="593">
        <v>19475000</v>
      </c>
      <c r="N112" s="587" t="s">
        <v>51</v>
      </c>
      <c r="O112" s="587" t="s">
        <v>36</v>
      </c>
      <c r="P112" s="587" t="s">
        <v>502</v>
      </c>
      <c r="Q112" s="80"/>
      <c r="R112" s="610" t="s">
        <v>241</v>
      </c>
      <c r="S112" s="595"/>
      <c r="T112" s="595"/>
      <c r="U112" s="595"/>
      <c r="V112" s="595"/>
      <c r="W112" s="595"/>
      <c r="X112" s="595"/>
      <c r="Y112" s="595"/>
      <c r="Z112" s="595"/>
      <c r="AA112" s="595"/>
      <c r="AB112" s="595"/>
      <c r="AC112" s="595"/>
      <c r="AD112" s="595"/>
      <c r="AE112" s="595"/>
      <c r="AF112" s="595"/>
      <c r="AG112" s="595"/>
      <c r="AH112" s="595"/>
      <c r="AI112" s="595"/>
      <c r="AJ112" s="595"/>
      <c r="AK112" s="595"/>
      <c r="AL112" s="595"/>
      <c r="AM112" s="595"/>
    </row>
    <row r="113" spans="1:39" ht="69" hidden="1" x14ac:dyDescent="0.35">
      <c r="A113" s="586">
        <f t="shared" si="4"/>
        <v>94</v>
      </c>
      <c r="B113" s="587" t="s">
        <v>503</v>
      </c>
      <c r="C113" s="588">
        <v>80101706</v>
      </c>
      <c r="D113" s="589" t="s">
        <v>504</v>
      </c>
      <c r="E113" s="587" t="s">
        <v>48</v>
      </c>
      <c r="F113" s="587">
        <v>1</v>
      </c>
      <c r="G113" s="590" t="s">
        <v>73</v>
      </c>
      <c r="H113" s="591">
        <v>5</v>
      </c>
      <c r="I113" s="587" t="s">
        <v>61</v>
      </c>
      <c r="J113" s="587" t="s">
        <v>66</v>
      </c>
      <c r="K113" s="587" t="s">
        <v>473</v>
      </c>
      <c r="L113" s="592">
        <v>33075000</v>
      </c>
      <c r="M113" s="593">
        <v>33075000</v>
      </c>
      <c r="N113" s="587" t="s">
        <v>51</v>
      </c>
      <c r="O113" s="587" t="s">
        <v>36</v>
      </c>
      <c r="P113" s="587" t="s">
        <v>502</v>
      </c>
      <c r="Q113" s="80"/>
      <c r="R113" s="610" t="s">
        <v>557</v>
      </c>
      <c r="S113" s="595"/>
      <c r="T113" s="595"/>
      <c r="U113" s="595"/>
      <c r="V113" s="595"/>
      <c r="W113" s="595"/>
      <c r="X113" s="595"/>
      <c r="Y113" s="595"/>
      <c r="Z113" s="595"/>
      <c r="AA113" s="595"/>
      <c r="AB113" s="595"/>
      <c r="AC113" s="595"/>
      <c r="AD113" s="595"/>
      <c r="AE113" s="595"/>
      <c r="AF113" s="595"/>
      <c r="AG113" s="595"/>
      <c r="AH113" s="595"/>
      <c r="AI113" s="595"/>
      <c r="AJ113" s="595"/>
      <c r="AK113" s="595"/>
      <c r="AL113" s="595"/>
      <c r="AM113" s="595"/>
    </row>
    <row r="114" spans="1:39" ht="69" hidden="1" x14ac:dyDescent="0.35">
      <c r="A114" s="586">
        <f t="shared" si="4"/>
        <v>95</v>
      </c>
      <c r="B114" s="587" t="s">
        <v>503</v>
      </c>
      <c r="C114" s="588">
        <v>80101706</v>
      </c>
      <c r="D114" s="589" t="s">
        <v>504</v>
      </c>
      <c r="E114" s="587" t="s">
        <v>48</v>
      </c>
      <c r="F114" s="587">
        <v>1</v>
      </c>
      <c r="G114" s="590" t="s">
        <v>73</v>
      </c>
      <c r="H114" s="591">
        <v>5</v>
      </c>
      <c r="I114" s="587" t="s">
        <v>61</v>
      </c>
      <c r="J114" s="587" t="s">
        <v>66</v>
      </c>
      <c r="K114" s="587" t="s">
        <v>473</v>
      </c>
      <c r="L114" s="592">
        <v>21700000</v>
      </c>
      <c r="M114" s="593">
        <v>21700000</v>
      </c>
      <c r="N114" s="587" t="s">
        <v>51</v>
      </c>
      <c r="O114" s="587" t="s">
        <v>36</v>
      </c>
      <c r="P114" s="587" t="s">
        <v>502</v>
      </c>
      <c r="Q114" s="80"/>
      <c r="R114" s="610" t="s">
        <v>242</v>
      </c>
      <c r="S114" s="595"/>
      <c r="T114" s="595"/>
      <c r="U114" s="595"/>
      <c r="V114" s="595"/>
      <c r="W114" s="595"/>
      <c r="X114" s="595"/>
      <c r="Y114" s="595"/>
      <c r="Z114" s="595"/>
      <c r="AA114" s="595"/>
      <c r="AB114" s="595"/>
      <c r="AC114" s="595"/>
      <c r="AD114" s="595"/>
      <c r="AE114" s="595"/>
      <c r="AF114" s="595"/>
      <c r="AG114" s="595"/>
      <c r="AH114" s="595"/>
      <c r="AI114" s="595"/>
      <c r="AJ114" s="595"/>
      <c r="AK114" s="595"/>
      <c r="AL114" s="595"/>
      <c r="AM114" s="595"/>
    </row>
    <row r="115" spans="1:39" ht="69" hidden="1" x14ac:dyDescent="0.35">
      <c r="A115" s="586">
        <f t="shared" si="4"/>
        <v>96</v>
      </c>
      <c r="B115" s="587" t="s">
        <v>505</v>
      </c>
      <c r="C115" s="588">
        <v>80101706</v>
      </c>
      <c r="D115" s="589" t="s">
        <v>506</v>
      </c>
      <c r="E115" s="587" t="s">
        <v>48</v>
      </c>
      <c r="F115" s="587">
        <v>1</v>
      </c>
      <c r="G115" s="590" t="s">
        <v>73</v>
      </c>
      <c r="H115" s="591">
        <v>5</v>
      </c>
      <c r="I115" s="587" t="s">
        <v>61</v>
      </c>
      <c r="J115" s="587" t="s">
        <v>66</v>
      </c>
      <c r="K115" s="587" t="s">
        <v>473</v>
      </c>
      <c r="L115" s="592">
        <v>19475000</v>
      </c>
      <c r="M115" s="593">
        <v>19475000</v>
      </c>
      <c r="N115" s="587" t="s">
        <v>51</v>
      </c>
      <c r="O115" s="587" t="s">
        <v>36</v>
      </c>
      <c r="P115" s="587" t="s">
        <v>502</v>
      </c>
      <c r="Q115" s="80"/>
      <c r="R115" s="610" t="s">
        <v>289</v>
      </c>
      <c r="S115" s="595"/>
      <c r="T115" s="595"/>
      <c r="U115" s="595"/>
      <c r="V115" s="595"/>
      <c r="W115" s="595"/>
      <c r="X115" s="595"/>
      <c r="Y115" s="595"/>
      <c r="Z115" s="595"/>
      <c r="AA115" s="595"/>
      <c r="AB115" s="595"/>
      <c r="AC115" s="595"/>
      <c r="AD115" s="595"/>
      <c r="AE115" s="595"/>
      <c r="AF115" s="595"/>
      <c r="AG115" s="595"/>
      <c r="AH115" s="595"/>
      <c r="AI115" s="595"/>
      <c r="AJ115" s="595"/>
      <c r="AK115" s="595"/>
      <c r="AL115" s="595"/>
      <c r="AM115" s="595"/>
    </row>
    <row r="116" spans="1:39" ht="69" hidden="1" x14ac:dyDescent="0.35">
      <c r="A116" s="586">
        <f t="shared" si="4"/>
        <v>97</v>
      </c>
      <c r="B116" s="587" t="s">
        <v>507</v>
      </c>
      <c r="C116" s="588">
        <v>80101706</v>
      </c>
      <c r="D116" s="589" t="s">
        <v>508</v>
      </c>
      <c r="E116" s="587" t="s">
        <v>48</v>
      </c>
      <c r="F116" s="587">
        <v>1</v>
      </c>
      <c r="G116" s="590" t="s">
        <v>73</v>
      </c>
      <c r="H116" s="591">
        <v>5</v>
      </c>
      <c r="I116" s="587" t="s">
        <v>61</v>
      </c>
      <c r="J116" s="587" t="s">
        <v>66</v>
      </c>
      <c r="K116" s="587" t="s">
        <v>473</v>
      </c>
      <c r="L116" s="592">
        <v>42500000</v>
      </c>
      <c r="M116" s="593">
        <v>42500000</v>
      </c>
      <c r="N116" s="587" t="s">
        <v>51</v>
      </c>
      <c r="O116" s="587" t="s">
        <v>36</v>
      </c>
      <c r="P116" s="587" t="s">
        <v>502</v>
      </c>
      <c r="Q116" s="80"/>
      <c r="R116" s="610" t="s">
        <v>237</v>
      </c>
      <c r="S116" s="595"/>
      <c r="T116" s="595"/>
      <c r="U116" s="595"/>
      <c r="V116" s="595"/>
      <c r="W116" s="595"/>
      <c r="X116" s="595"/>
      <c r="Y116" s="595"/>
      <c r="Z116" s="595"/>
      <c r="AA116" s="595"/>
      <c r="AB116" s="595"/>
      <c r="AC116" s="595"/>
      <c r="AD116" s="595"/>
      <c r="AE116" s="595"/>
      <c r="AF116" s="595"/>
      <c r="AG116" s="595"/>
      <c r="AH116" s="595"/>
      <c r="AI116" s="595"/>
      <c r="AJ116" s="595"/>
      <c r="AK116" s="595"/>
      <c r="AL116" s="595"/>
      <c r="AM116" s="595"/>
    </row>
    <row r="117" spans="1:39" ht="69" hidden="1" x14ac:dyDescent="0.35">
      <c r="A117" s="586">
        <f t="shared" si="4"/>
        <v>98</v>
      </c>
      <c r="B117" s="587" t="s">
        <v>301</v>
      </c>
      <c r="C117" s="588">
        <v>80101706</v>
      </c>
      <c r="D117" s="589" t="s">
        <v>509</v>
      </c>
      <c r="E117" s="587" t="s">
        <v>48</v>
      </c>
      <c r="F117" s="587">
        <v>1</v>
      </c>
      <c r="G117" s="590" t="s">
        <v>73</v>
      </c>
      <c r="H117" s="591">
        <v>5</v>
      </c>
      <c r="I117" s="587" t="s">
        <v>61</v>
      </c>
      <c r="J117" s="587" t="s">
        <v>66</v>
      </c>
      <c r="K117" s="587" t="s">
        <v>473</v>
      </c>
      <c r="L117" s="592">
        <v>45000000</v>
      </c>
      <c r="M117" s="593">
        <v>45000000</v>
      </c>
      <c r="N117" s="587" t="s">
        <v>51</v>
      </c>
      <c r="O117" s="587" t="s">
        <v>36</v>
      </c>
      <c r="P117" s="587" t="s">
        <v>502</v>
      </c>
      <c r="Q117" s="80"/>
      <c r="R117" s="610" t="s">
        <v>558</v>
      </c>
      <c r="S117" s="595"/>
      <c r="T117" s="595"/>
      <c r="U117" s="595"/>
      <c r="V117" s="595"/>
      <c r="W117" s="595"/>
      <c r="X117" s="595"/>
      <c r="Y117" s="595"/>
      <c r="Z117" s="595"/>
      <c r="AA117" s="595"/>
      <c r="AB117" s="595"/>
      <c r="AC117" s="595"/>
      <c r="AD117" s="595"/>
      <c r="AE117" s="595"/>
      <c r="AF117" s="595"/>
      <c r="AG117" s="595"/>
      <c r="AH117" s="595"/>
      <c r="AI117" s="595"/>
      <c r="AJ117" s="595"/>
      <c r="AK117" s="595"/>
      <c r="AL117" s="595"/>
      <c r="AM117" s="595"/>
    </row>
    <row r="118" spans="1:39" ht="69" hidden="1" x14ac:dyDescent="0.35">
      <c r="A118" s="586">
        <f t="shared" si="4"/>
        <v>99</v>
      </c>
      <c r="B118" s="587" t="s">
        <v>301</v>
      </c>
      <c r="C118" s="588">
        <v>80101706</v>
      </c>
      <c r="D118" s="589" t="s">
        <v>509</v>
      </c>
      <c r="E118" s="587" t="s">
        <v>48</v>
      </c>
      <c r="F118" s="587">
        <v>1</v>
      </c>
      <c r="G118" s="590" t="s">
        <v>73</v>
      </c>
      <c r="H118" s="591">
        <v>5</v>
      </c>
      <c r="I118" s="587" t="s">
        <v>61</v>
      </c>
      <c r="J118" s="587" t="s">
        <v>66</v>
      </c>
      <c r="K118" s="587" t="s">
        <v>473</v>
      </c>
      <c r="L118" s="592">
        <v>41500000</v>
      </c>
      <c r="M118" s="593">
        <v>41500000</v>
      </c>
      <c r="N118" s="587" t="s">
        <v>51</v>
      </c>
      <c r="O118" s="587" t="s">
        <v>36</v>
      </c>
      <c r="P118" s="587" t="s">
        <v>502</v>
      </c>
      <c r="Q118" s="80"/>
      <c r="R118" s="610" t="s">
        <v>559</v>
      </c>
      <c r="S118" s="595"/>
      <c r="T118" s="595"/>
      <c r="U118" s="595"/>
      <c r="V118" s="595"/>
      <c r="W118" s="595"/>
      <c r="X118" s="595"/>
      <c r="Y118" s="595"/>
      <c r="Z118" s="595"/>
      <c r="AA118" s="595"/>
      <c r="AB118" s="595"/>
      <c r="AC118" s="595"/>
      <c r="AD118" s="595"/>
      <c r="AE118" s="595"/>
      <c r="AF118" s="595"/>
      <c r="AG118" s="595"/>
      <c r="AH118" s="595"/>
      <c r="AI118" s="595"/>
      <c r="AJ118" s="595"/>
      <c r="AK118" s="595"/>
      <c r="AL118" s="595"/>
      <c r="AM118" s="595"/>
    </row>
    <row r="119" spans="1:39" ht="92.1" hidden="1" x14ac:dyDescent="0.35">
      <c r="A119" s="586">
        <f t="shared" si="4"/>
        <v>100</v>
      </c>
      <c r="B119" s="587" t="s">
        <v>247</v>
      </c>
      <c r="C119" s="588">
        <v>80101706</v>
      </c>
      <c r="D119" s="589" t="s">
        <v>510</v>
      </c>
      <c r="E119" s="587" t="s">
        <v>48</v>
      </c>
      <c r="F119" s="587">
        <v>1</v>
      </c>
      <c r="G119" s="590" t="s">
        <v>73</v>
      </c>
      <c r="H119" s="591">
        <v>5</v>
      </c>
      <c r="I119" s="587" t="s">
        <v>61</v>
      </c>
      <c r="J119" s="587" t="s">
        <v>66</v>
      </c>
      <c r="K119" s="587" t="s">
        <v>473</v>
      </c>
      <c r="L119" s="592">
        <v>46410000</v>
      </c>
      <c r="M119" s="593">
        <v>46410000</v>
      </c>
      <c r="N119" s="587" t="s">
        <v>51</v>
      </c>
      <c r="O119" s="587" t="s">
        <v>36</v>
      </c>
      <c r="P119" s="587" t="s">
        <v>511</v>
      </c>
      <c r="Q119" s="80"/>
      <c r="R119" s="610" t="s">
        <v>560</v>
      </c>
      <c r="S119" s="595"/>
      <c r="T119" s="595"/>
      <c r="U119" s="595"/>
      <c r="V119" s="595"/>
      <c r="W119" s="595"/>
      <c r="X119" s="595"/>
      <c r="Y119" s="595"/>
      <c r="Z119" s="595"/>
      <c r="AA119" s="595"/>
      <c r="AB119" s="595"/>
      <c r="AC119" s="595"/>
      <c r="AD119" s="595"/>
      <c r="AE119" s="595"/>
      <c r="AF119" s="595"/>
      <c r="AG119" s="595"/>
      <c r="AH119" s="595"/>
      <c r="AI119" s="595"/>
      <c r="AJ119" s="595"/>
      <c r="AK119" s="595"/>
      <c r="AL119" s="595"/>
      <c r="AM119" s="595"/>
    </row>
    <row r="120" spans="1:39" ht="116.25" x14ac:dyDescent="0.25">
      <c r="A120" s="586">
        <f t="shared" si="4"/>
        <v>101</v>
      </c>
      <c r="B120" s="587" t="s">
        <v>507</v>
      </c>
      <c r="C120" s="588">
        <v>80101706</v>
      </c>
      <c r="D120" s="589" t="s">
        <v>508</v>
      </c>
      <c r="E120" s="587" t="s">
        <v>48</v>
      </c>
      <c r="F120" s="587">
        <v>1</v>
      </c>
      <c r="G120" s="590" t="s">
        <v>73</v>
      </c>
      <c r="H120" s="591">
        <v>5</v>
      </c>
      <c r="I120" s="587" t="s">
        <v>61</v>
      </c>
      <c r="J120" s="587" t="s">
        <v>66</v>
      </c>
      <c r="K120" s="587" t="s">
        <v>493</v>
      </c>
      <c r="L120" s="592">
        <v>15165000</v>
      </c>
      <c r="M120" s="593">
        <v>15165000</v>
      </c>
      <c r="N120" s="587" t="s">
        <v>51</v>
      </c>
      <c r="O120" s="587" t="s">
        <v>36</v>
      </c>
      <c r="P120" s="587" t="s">
        <v>502</v>
      </c>
      <c r="Q120" s="80"/>
      <c r="R120" s="610" t="s">
        <v>244</v>
      </c>
      <c r="S120" s="595"/>
      <c r="T120" s="595"/>
      <c r="U120" s="595"/>
      <c r="V120" s="595"/>
      <c r="W120" s="595"/>
      <c r="X120" s="595"/>
      <c r="Y120" s="595"/>
      <c r="Z120" s="595"/>
      <c r="AA120" s="595"/>
      <c r="AB120" s="595"/>
      <c r="AC120" s="595"/>
      <c r="AD120" s="595"/>
      <c r="AE120" s="595"/>
      <c r="AF120" s="595"/>
      <c r="AG120" s="595"/>
      <c r="AH120" s="595"/>
      <c r="AI120" s="595"/>
      <c r="AJ120" s="595"/>
      <c r="AK120" s="595"/>
      <c r="AL120" s="595"/>
      <c r="AM120" s="595"/>
    </row>
    <row r="121" spans="1:39" ht="116.25" x14ac:dyDescent="0.25">
      <c r="A121" s="586">
        <f t="shared" si="4"/>
        <v>102</v>
      </c>
      <c r="B121" s="587" t="s">
        <v>507</v>
      </c>
      <c r="C121" s="588">
        <v>80101706</v>
      </c>
      <c r="D121" s="589" t="s">
        <v>508</v>
      </c>
      <c r="E121" s="587" t="s">
        <v>48</v>
      </c>
      <c r="F121" s="587">
        <v>1</v>
      </c>
      <c r="G121" s="590" t="s">
        <v>73</v>
      </c>
      <c r="H121" s="591">
        <v>5</v>
      </c>
      <c r="I121" s="587" t="s">
        <v>61</v>
      </c>
      <c r="J121" s="587" t="s">
        <v>66</v>
      </c>
      <c r="K121" s="587" t="s">
        <v>493</v>
      </c>
      <c r="L121" s="592">
        <v>30000000</v>
      </c>
      <c r="M121" s="593">
        <v>30000000</v>
      </c>
      <c r="N121" s="587" t="s">
        <v>51</v>
      </c>
      <c r="O121" s="587" t="s">
        <v>36</v>
      </c>
      <c r="P121" s="587" t="s">
        <v>502</v>
      </c>
      <c r="Q121" s="80"/>
      <c r="R121" s="610" t="s">
        <v>274</v>
      </c>
      <c r="S121" s="595"/>
      <c r="T121" s="595"/>
      <c r="U121" s="595"/>
      <c r="V121" s="595"/>
      <c r="W121" s="595"/>
      <c r="X121" s="595"/>
      <c r="Y121" s="595"/>
      <c r="Z121" s="595"/>
      <c r="AA121" s="595"/>
      <c r="AB121" s="595"/>
      <c r="AC121" s="595"/>
      <c r="AD121" s="595"/>
      <c r="AE121" s="595"/>
      <c r="AF121" s="595"/>
      <c r="AG121" s="595"/>
      <c r="AH121" s="595"/>
      <c r="AI121" s="595"/>
      <c r="AJ121" s="595"/>
      <c r="AK121" s="595"/>
      <c r="AL121" s="595"/>
      <c r="AM121" s="595"/>
    </row>
    <row r="122" spans="1:39" ht="116.25" x14ac:dyDescent="0.25">
      <c r="A122" s="586">
        <f t="shared" ref="A122:A153" si="5">SUM(A121+1)</f>
        <v>103</v>
      </c>
      <c r="B122" s="587" t="s">
        <v>507</v>
      </c>
      <c r="C122" s="588">
        <v>80101706</v>
      </c>
      <c r="D122" s="589" t="s">
        <v>508</v>
      </c>
      <c r="E122" s="587" t="s">
        <v>48</v>
      </c>
      <c r="F122" s="587">
        <v>1</v>
      </c>
      <c r="G122" s="590" t="s">
        <v>73</v>
      </c>
      <c r="H122" s="591">
        <v>5</v>
      </c>
      <c r="I122" s="587" t="s">
        <v>61</v>
      </c>
      <c r="J122" s="587" t="s">
        <v>66</v>
      </c>
      <c r="K122" s="587" t="s">
        <v>493</v>
      </c>
      <c r="L122" s="592">
        <v>19475000</v>
      </c>
      <c r="M122" s="593">
        <v>19475000</v>
      </c>
      <c r="N122" s="587" t="s">
        <v>51</v>
      </c>
      <c r="O122" s="587" t="s">
        <v>36</v>
      </c>
      <c r="P122" s="587" t="s">
        <v>502</v>
      </c>
      <c r="Q122" s="80"/>
      <c r="R122" s="610" t="s">
        <v>275</v>
      </c>
      <c r="S122" s="595"/>
      <c r="T122" s="595"/>
      <c r="U122" s="595"/>
      <c r="V122" s="595"/>
      <c r="W122" s="595"/>
      <c r="X122" s="595"/>
      <c r="Y122" s="595"/>
      <c r="Z122" s="595"/>
      <c r="AA122" s="595"/>
      <c r="AB122" s="595"/>
      <c r="AC122" s="595"/>
      <c r="AD122" s="595"/>
      <c r="AE122" s="595"/>
      <c r="AF122" s="595"/>
      <c r="AG122" s="595"/>
      <c r="AH122" s="595"/>
      <c r="AI122" s="595"/>
      <c r="AJ122" s="595"/>
      <c r="AK122" s="595"/>
      <c r="AL122" s="595"/>
      <c r="AM122" s="595"/>
    </row>
    <row r="123" spans="1:39" ht="69" hidden="1" x14ac:dyDescent="0.35">
      <c r="A123" s="586">
        <f t="shared" si="5"/>
        <v>104</v>
      </c>
      <c r="B123" s="587" t="s">
        <v>286</v>
      </c>
      <c r="C123" s="588">
        <v>80101706</v>
      </c>
      <c r="D123" s="589" t="s">
        <v>512</v>
      </c>
      <c r="E123" s="587" t="s">
        <v>48</v>
      </c>
      <c r="F123" s="587">
        <v>1</v>
      </c>
      <c r="G123" s="590" t="s">
        <v>73</v>
      </c>
      <c r="H123" s="591">
        <v>5</v>
      </c>
      <c r="I123" s="587" t="s">
        <v>61</v>
      </c>
      <c r="J123" s="587" t="s">
        <v>66</v>
      </c>
      <c r="K123" s="587" t="s">
        <v>473</v>
      </c>
      <c r="L123" s="592">
        <v>12500000</v>
      </c>
      <c r="M123" s="593">
        <v>12500000</v>
      </c>
      <c r="N123" s="587" t="s">
        <v>51</v>
      </c>
      <c r="O123" s="587" t="s">
        <v>36</v>
      </c>
      <c r="P123" s="587" t="s">
        <v>513</v>
      </c>
      <c r="Q123" s="80"/>
      <c r="R123" s="610" t="s">
        <v>234</v>
      </c>
      <c r="S123" s="595"/>
      <c r="T123" s="595"/>
      <c r="U123" s="595"/>
      <c r="V123" s="595"/>
      <c r="W123" s="595"/>
      <c r="X123" s="595"/>
      <c r="Y123" s="595"/>
      <c r="Z123" s="595"/>
      <c r="AA123" s="595"/>
      <c r="AB123" s="595"/>
      <c r="AC123" s="595"/>
      <c r="AD123" s="595"/>
      <c r="AE123" s="595"/>
      <c r="AF123" s="595"/>
      <c r="AG123" s="595"/>
      <c r="AH123" s="595"/>
      <c r="AI123" s="595"/>
      <c r="AJ123" s="595"/>
      <c r="AK123" s="595"/>
      <c r="AL123" s="595"/>
      <c r="AM123" s="595"/>
    </row>
    <row r="124" spans="1:39" ht="69" hidden="1" x14ac:dyDescent="0.35">
      <c r="A124" s="586">
        <f t="shared" si="5"/>
        <v>105</v>
      </c>
      <c r="B124" s="587" t="s">
        <v>286</v>
      </c>
      <c r="C124" s="588">
        <v>80101706</v>
      </c>
      <c r="D124" s="589" t="s">
        <v>512</v>
      </c>
      <c r="E124" s="587" t="s">
        <v>48</v>
      </c>
      <c r="F124" s="587">
        <v>1</v>
      </c>
      <c r="G124" s="590" t="s">
        <v>73</v>
      </c>
      <c r="H124" s="591">
        <v>5</v>
      </c>
      <c r="I124" s="587" t="s">
        <v>61</v>
      </c>
      <c r="J124" s="587" t="s">
        <v>66</v>
      </c>
      <c r="K124" s="587" t="s">
        <v>473</v>
      </c>
      <c r="L124" s="592">
        <v>12500000</v>
      </c>
      <c r="M124" s="593">
        <v>12500000</v>
      </c>
      <c r="N124" s="587" t="s">
        <v>51</v>
      </c>
      <c r="O124" s="587" t="s">
        <v>36</v>
      </c>
      <c r="P124" s="587" t="s">
        <v>513</v>
      </c>
      <c r="Q124" s="80"/>
      <c r="R124" s="610" t="s">
        <v>561</v>
      </c>
      <c r="S124" s="595"/>
      <c r="T124" s="595"/>
      <c r="U124" s="595"/>
      <c r="V124" s="595"/>
      <c r="W124" s="595"/>
      <c r="X124" s="595"/>
      <c r="Y124" s="595"/>
      <c r="Z124" s="595"/>
      <c r="AA124" s="595"/>
      <c r="AB124" s="595"/>
      <c r="AC124" s="595"/>
      <c r="AD124" s="595"/>
      <c r="AE124" s="595"/>
      <c r="AF124" s="595"/>
      <c r="AG124" s="595"/>
      <c r="AH124" s="595"/>
      <c r="AI124" s="595"/>
      <c r="AJ124" s="595"/>
      <c r="AK124" s="595"/>
      <c r="AL124" s="595"/>
      <c r="AM124" s="595"/>
    </row>
    <row r="125" spans="1:39" ht="69" hidden="1" x14ac:dyDescent="0.35">
      <c r="A125" s="586">
        <f t="shared" si="5"/>
        <v>106</v>
      </c>
      <c r="B125" s="587" t="s">
        <v>286</v>
      </c>
      <c r="C125" s="588">
        <v>80101706</v>
      </c>
      <c r="D125" s="589" t="s">
        <v>514</v>
      </c>
      <c r="E125" s="587" t="s">
        <v>48</v>
      </c>
      <c r="F125" s="587">
        <v>1</v>
      </c>
      <c r="G125" s="590" t="s">
        <v>73</v>
      </c>
      <c r="H125" s="591">
        <v>5</v>
      </c>
      <c r="I125" s="587" t="s">
        <v>61</v>
      </c>
      <c r="J125" s="587" t="s">
        <v>66</v>
      </c>
      <c r="K125" s="587" t="s">
        <v>473</v>
      </c>
      <c r="L125" s="592">
        <v>4772500</v>
      </c>
      <c r="M125" s="593">
        <v>4772500</v>
      </c>
      <c r="N125" s="587" t="s">
        <v>51</v>
      </c>
      <c r="O125" s="587" t="s">
        <v>36</v>
      </c>
      <c r="P125" s="587" t="s">
        <v>513</v>
      </c>
      <c r="Q125" s="80"/>
      <c r="R125" s="610" t="s">
        <v>562</v>
      </c>
      <c r="S125" s="595"/>
      <c r="T125" s="595"/>
      <c r="U125" s="595"/>
      <c r="V125" s="595"/>
      <c r="W125" s="595"/>
      <c r="X125" s="595"/>
      <c r="Y125" s="595"/>
      <c r="Z125" s="595"/>
      <c r="AA125" s="595"/>
      <c r="AB125" s="595"/>
      <c r="AC125" s="595"/>
      <c r="AD125" s="595"/>
      <c r="AE125" s="595"/>
      <c r="AF125" s="595"/>
      <c r="AG125" s="595"/>
      <c r="AH125" s="595"/>
      <c r="AI125" s="595"/>
      <c r="AJ125" s="595"/>
      <c r="AK125" s="595"/>
      <c r="AL125" s="595"/>
      <c r="AM125" s="595"/>
    </row>
    <row r="126" spans="1:39" ht="92.1" hidden="1" x14ac:dyDescent="0.35">
      <c r="A126" s="586">
        <f t="shared" si="5"/>
        <v>107</v>
      </c>
      <c r="B126" s="587" t="s">
        <v>515</v>
      </c>
      <c r="C126" s="588">
        <v>80101706</v>
      </c>
      <c r="D126" s="589" t="s">
        <v>516</v>
      </c>
      <c r="E126" s="587" t="s">
        <v>48</v>
      </c>
      <c r="F126" s="587">
        <v>1</v>
      </c>
      <c r="G126" s="590" t="s">
        <v>73</v>
      </c>
      <c r="H126" s="591">
        <v>5</v>
      </c>
      <c r="I126" s="587" t="s">
        <v>61</v>
      </c>
      <c r="J126" s="587" t="s">
        <v>66</v>
      </c>
      <c r="K126" s="587" t="s">
        <v>473</v>
      </c>
      <c r="L126" s="592">
        <v>26155000</v>
      </c>
      <c r="M126" s="593">
        <v>26155000</v>
      </c>
      <c r="N126" s="587" t="s">
        <v>51</v>
      </c>
      <c r="O126" s="587" t="s">
        <v>36</v>
      </c>
      <c r="P126" s="587" t="s">
        <v>517</v>
      </c>
      <c r="Q126" s="80"/>
      <c r="R126" s="610" t="s">
        <v>281</v>
      </c>
      <c r="S126" s="595"/>
      <c r="T126" s="595"/>
      <c r="U126" s="595"/>
      <c r="V126" s="595"/>
      <c r="W126" s="595"/>
      <c r="X126" s="595"/>
      <c r="Y126" s="595"/>
      <c r="Z126" s="595"/>
      <c r="AA126" s="595"/>
      <c r="AB126" s="595"/>
      <c r="AC126" s="595"/>
      <c r="AD126" s="595"/>
      <c r="AE126" s="595"/>
      <c r="AF126" s="595"/>
      <c r="AG126" s="595"/>
      <c r="AH126" s="595"/>
      <c r="AI126" s="595"/>
      <c r="AJ126" s="595"/>
      <c r="AK126" s="595"/>
      <c r="AL126" s="595"/>
      <c r="AM126" s="595"/>
    </row>
    <row r="127" spans="1:39" ht="116.25" x14ac:dyDescent="0.25">
      <c r="A127" s="586">
        <f t="shared" si="5"/>
        <v>108</v>
      </c>
      <c r="B127" s="587" t="s">
        <v>286</v>
      </c>
      <c r="C127" s="588">
        <v>80101706</v>
      </c>
      <c r="D127" s="589" t="s">
        <v>512</v>
      </c>
      <c r="E127" s="587" t="s">
        <v>48</v>
      </c>
      <c r="F127" s="587">
        <v>1</v>
      </c>
      <c r="G127" s="590" t="s">
        <v>73</v>
      </c>
      <c r="H127" s="591">
        <v>5</v>
      </c>
      <c r="I127" s="587" t="s">
        <v>61</v>
      </c>
      <c r="J127" s="587" t="s">
        <v>66</v>
      </c>
      <c r="K127" s="587" t="s">
        <v>493</v>
      </c>
      <c r="L127" s="592">
        <v>12500000</v>
      </c>
      <c r="M127" s="593">
        <v>12500000</v>
      </c>
      <c r="N127" s="587" t="s">
        <v>51</v>
      </c>
      <c r="O127" s="587" t="s">
        <v>36</v>
      </c>
      <c r="P127" s="587" t="s">
        <v>513</v>
      </c>
      <c r="Q127" s="80"/>
      <c r="R127" s="610" t="s">
        <v>234</v>
      </c>
      <c r="S127" s="595"/>
      <c r="T127" s="595"/>
      <c r="U127" s="595"/>
      <c r="V127" s="595"/>
      <c r="W127" s="595"/>
      <c r="X127" s="595"/>
      <c r="Y127" s="595"/>
      <c r="Z127" s="595"/>
      <c r="AA127" s="595"/>
      <c r="AB127" s="595"/>
      <c r="AC127" s="595"/>
      <c r="AD127" s="595"/>
      <c r="AE127" s="595"/>
      <c r="AF127" s="595"/>
      <c r="AG127" s="595"/>
      <c r="AH127" s="595"/>
      <c r="AI127" s="595"/>
      <c r="AJ127" s="595"/>
      <c r="AK127" s="595"/>
      <c r="AL127" s="595"/>
      <c r="AM127" s="595"/>
    </row>
    <row r="128" spans="1:39" ht="92.1" hidden="1" x14ac:dyDescent="0.35">
      <c r="A128" s="586">
        <f t="shared" si="5"/>
        <v>109</v>
      </c>
      <c r="B128" s="587" t="s">
        <v>515</v>
      </c>
      <c r="C128" s="588">
        <v>80101706</v>
      </c>
      <c r="D128" s="589" t="s">
        <v>516</v>
      </c>
      <c r="E128" s="587" t="s">
        <v>48</v>
      </c>
      <c r="F128" s="587">
        <v>1</v>
      </c>
      <c r="G128" s="590" t="s">
        <v>73</v>
      </c>
      <c r="H128" s="591">
        <v>5</v>
      </c>
      <c r="I128" s="587" t="s">
        <v>61</v>
      </c>
      <c r="J128" s="587" t="s">
        <v>66</v>
      </c>
      <c r="K128" s="587" t="s">
        <v>473</v>
      </c>
      <c r="L128" s="592">
        <v>26155000</v>
      </c>
      <c r="M128" s="593">
        <v>26155000</v>
      </c>
      <c r="N128" s="587" t="s">
        <v>51</v>
      </c>
      <c r="O128" s="587" t="s">
        <v>36</v>
      </c>
      <c r="P128" s="587" t="s">
        <v>517</v>
      </c>
      <c r="Q128" s="80"/>
      <c r="R128" s="610" t="s">
        <v>280</v>
      </c>
      <c r="S128" s="595"/>
      <c r="T128" s="595"/>
      <c r="U128" s="595"/>
      <c r="V128" s="595"/>
      <c r="W128" s="595"/>
      <c r="X128" s="595"/>
      <c r="Y128" s="595"/>
      <c r="Z128" s="595"/>
      <c r="AA128" s="595"/>
      <c r="AB128" s="595"/>
      <c r="AC128" s="595"/>
      <c r="AD128" s="595"/>
      <c r="AE128" s="595"/>
      <c r="AF128" s="595"/>
      <c r="AG128" s="595"/>
      <c r="AH128" s="595"/>
      <c r="AI128" s="595"/>
      <c r="AJ128" s="595"/>
      <c r="AK128" s="595"/>
      <c r="AL128" s="595"/>
      <c r="AM128" s="595"/>
    </row>
    <row r="129" spans="1:39" ht="116.25" x14ac:dyDescent="0.25">
      <c r="A129" s="586">
        <f t="shared" si="5"/>
        <v>110</v>
      </c>
      <c r="B129" s="587" t="s">
        <v>286</v>
      </c>
      <c r="C129" s="588">
        <v>80101706</v>
      </c>
      <c r="D129" s="589" t="s">
        <v>512</v>
      </c>
      <c r="E129" s="587" t="s">
        <v>48</v>
      </c>
      <c r="F129" s="587">
        <v>1</v>
      </c>
      <c r="G129" s="590" t="s">
        <v>73</v>
      </c>
      <c r="H129" s="591">
        <v>5</v>
      </c>
      <c r="I129" s="587" t="s">
        <v>61</v>
      </c>
      <c r="J129" s="587" t="s">
        <v>66</v>
      </c>
      <c r="K129" s="587" t="s">
        <v>493</v>
      </c>
      <c r="L129" s="592">
        <v>12500000</v>
      </c>
      <c r="M129" s="593">
        <v>12500000</v>
      </c>
      <c r="N129" s="587" t="s">
        <v>51</v>
      </c>
      <c r="O129" s="587" t="s">
        <v>36</v>
      </c>
      <c r="P129" s="587" t="s">
        <v>513</v>
      </c>
      <c r="Q129" s="80"/>
      <c r="R129" s="610" t="s">
        <v>561</v>
      </c>
      <c r="S129" s="595"/>
      <c r="T129" s="595"/>
      <c r="U129" s="595"/>
      <c r="V129" s="595"/>
      <c r="W129" s="595"/>
      <c r="X129" s="595"/>
      <c r="Y129" s="595"/>
      <c r="Z129" s="595"/>
      <c r="AA129" s="595"/>
      <c r="AB129" s="595"/>
      <c r="AC129" s="595"/>
      <c r="AD129" s="595"/>
      <c r="AE129" s="595"/>
      <c r="AF129" s="595"/>
      <c r="AG129" s="595"/>
      <c r="AH129" s="595"/>
      <c r="AI129" s="595"/>
      <c r="AJ129" s="595"/>
      <c r="AK129" s="595"/>
      <c r="AL129" s="595"/>
      <c r="AM129" s="595"/>
    </row>
    <row r="130" spans="1:39" ht="92.1" hidden="1" x14ac:dyDescent="0.35">
      <c r="A130" s="586">
        <f t="shared" si="5"/>
        <v>111</v>
      </c>
      <c r="B130" s="587" t="s">
        <v>170</v>
      </c>
      <c r="C130" s="588">
        <v>80101706</v>
      </c>
      <c r="D130" s="589" t="s">
        <v>524</v>
      </c>
      <c r="E130" s="587" t="s">
        <v>48</v>
      </c>
      <c r="F130" s="587">
        <v>1</v>
      </c>
      <c r="G130" s="590" t="s">
        <v>73</v>
      </c>
      <c r="H130" s="591">
        <v>5</v>
      </c>
      <c r="I130" s="587" t="s">
        <v>61</v>
      </c>
      <c r="J130" s="587" t="s">
        <v>66</v>
      </c>
      <c r="K130" s="587" t="s">
        <v>473</v>
      </c>
      <c r="L130" s="592">
        <v>31500000</v>
      </c>
      <c r="M130" s="593">
        <v>31500000</v>
      </c>
      <c r="N130" s="587" t="s">
        <v>51</v>
      </c>
      <c r="O130" s="587" t="s">
        <v>36</v>
      </c>
      <c r="P130" s="587" t="s">
        <v>525</v>
      </c>
      <c r="Q130" s="80"/>
      <c r="R130" s="610" t="s">
        <v>261</v>
      </c>
      <c r="S130" s="595"/>
      <c r="T130" s="595"/>
      <c r="U130" s="595"/>
      <c r="V130" s="595"/>
      <c r="W130" s="595"/>
      <c r="X130" s="595"/>
      <c r="Y130" s="595"/>
      <c r="Z130" s="595"/>
      <c r="AA130" s="595"/>
      <c r="AB130" s="595"/>
      <c r="AC130" s="595"/>
      <c r="AD130" s="595"/>
      <c r="AE130" s="595"/>
      <c r="AF130" s="595"/>
      <c r="AG130" s="595"/>
      <c r="AH130" s="595"/>
      <c r="AI130" s="595"/>
      <c r="AJ130" s="595"/>
      <c r="AK130" s="595"/>
      <c r="AL130" s="595"/>
      <c r="AM130" s="595"/>
    </row>
    <row r="131" spans="1:39" ht="116.25" x14ac:dyDescent="0.25">
      <c r="A131" s="586">
        <f t="shared" si="5"/>
        <v>112</v>
      </c>
      <c r="B131" s="587" t="s">
        <v>286</v>
      </c>
      <c r="C131" s="588">
        <v>80101706</v>
      </c>
      <c r="D131" s="589" t="s">
        <v>514</v>
      </c>
      <c r="E131" s="587" t="s">
        <v>48</v>
      </c>
      <c r="F131" s="587">
        <v>1</v>
      </c>
      <c r="G131" s="590" t="s">
        <v>73</v>
      </c>
      <c r="H131" s="591">
        <v>5</v>
      </c>
      <c r="I131" s="587" t="s">
        <v>61</v>
      </c>
      <c r="J131" s="587" t="s">
        <v>66</v>
      </c>
      <c r="K131" s="587" t="s">
        <v>493</v>
      </c>
      <c r="L131" s="592">
        <v>4772500</v>
      </c>
      <c r="M131" s="593">
        <v>4772500</v>
      </c>
      <c r="N131" s="587" t="s">
        <v>51</v>
      </c>
      <c r="O131" s="587" t="s">
        <v>36</v>
      </c>
      <c r="P131" s="587" t="s">
        <v>513</v>
      </c>
      <c r="Q131" s="80"/>
      <c r="R131" s="610" t="s">
        <v>562</v>
      </c>
      <c r="S131" s="595"/>
      <c r="T131" s="595"/>
      <c r="U131" s="595"/>
      <c r="V131" s="595"/>
      <c r="W131" s="595"/>
      <c r="X131" s="595"/>
      <c r="Y131" s="595"/>
      <c r="Z131" s="595"/>
      <c r="AA131" s="595"/>
      <c r="AB131" s="595"/>
      <c r="AC131" s="595"/>
      <c r="AD131" s="595"/>
      <c r="AE131" s="595"/>
      <c r="AF131" s="595"/>
      <c r="AG131" s="595"/>
      <c r="AH131" s="595"/>
      <c r="AI131" s="595"/>
      <c r="AJ131" s="595"/>
      <c r="AK131" s="595"/>
      <c r="AL131" s="595"/>
      <c r="AM131" s="595"/>
    </row>
    <row r="132" spans="1:39" ht="92.1" hidden="1" x14ac:dyDescent="0.35">
      <c r="A132" s="586">
        <f t="shared" si="5"/>
        <v>113</v>
      </c>
      <c r="B132" s="587" t="s">
        <v>170</v>
      </c>
      <c r="C132" s="588">
        <v>80101706</v>
      </c>
      <c r="D132" s="589" t="s">
        <v>524</v>
      </c>
      <c r="E132" s="587" t="s">
        <v>48</v>
      </c>
      <c r="F132" s="587">
        <v>1</v>
      </c>
      <c r="G132" s="590" t="s">
        <v>73</v>
      </c>
      <c r="H132" s="591">
        <v>5</v>
      </c>
      <c r="I132" s="587" t="s">
        <v>61</v>
      </c>
      <c r="J132" s="587" t="s">
        <v>66</v>
      </c>
      <c r="K132" s="587" t="s">
        <v>473</v>
      </c>
      <c r="L132" s="592">
        <v>43680000</v>
      </c>
      <c r="M132" s="593">
        <v>43680000</v>
      </c>
      <c r="N132" s="587" t="s">
        <v>51</v>
      </c>
      <c r="O132" s="587" t="s">
        <v>36</v>
      </c>
      <c r="P132" s="587" t="s">
        <v>525</v>
      </c>
      <c r="Q132" s="80"/>
      <c r="R132" s="610" t="s">
        <v>567</v>
      </c>
      <c r="S132" s="595"/>
      <c r="T132" s="595"/>
      <c r="U132" s="595"/>
      <c r="V132" s="595"/>
      <c r="W132" s="595"/>
      <c r="X132" s="595"/>
      <c r="Y132" s="595"/>
      <c r="Z132" s="595"/>
      <c r="AA132" s="595"/>
      <c r="AB132" s="595"/>
      <c r="AC132" s="595"/>
      <c r="AD132" s="595"/>
      <c r="AE132" s="595"/>
      <c r="AF132" s="595"/>
      <c r="AG132" s="595"/>
      <c r="AH132" s="595"/>
      <c r="AI132" s="595"/>
      <c r="AJ132" s="595"/>
      <c r="AK132" s="595"/>
      <c r="AL132" s="595"/>
      <c r="AM132" s="595"/>
    </row>
    <row r="133" spans="1:39" ht="92.1" hidden="1" x14ac:dyDescent="0.35">
      <c r="A133" s="586">
        <f t="shared" si="5"/>
        <v>114</v>
      </c>
      <c r="B133" s="587" t="s">
        <v>170</v>
      </c>
      <c r="C133" s="588">
        <v>80101706</v>
      </c>
      <c r="D133" s="589" t="s">
        <v>524</v>
      </c>
      <c r="E133" s="587" t="s">
        <v>48</v>
      </c>
      <c r="F133" s="587">
        <v>1</v>
      </c>
      <c r="G133" s="590" t="s">
        <v>73</v>
      </c>
      <c r="H133" s="591">
        <v>5</v>
      </c>
      <c r="I133" s="587" t="s">
        <v>61</v>
      </c>
      <c r="J133" s="587" t="s">
        <v>66</v>
      </c>
      <c r="K133" s="587" t="s">
        <v>473</v>
      </c>
      <c r="L133" s="592">
        <v>40000000</v>
      </c>
      <c r="M133" s="593">
        <v>40000000</v>
      </c>
      <c r="N133" s="587" t="s">
        <v>51</v>
      </c>
      <c r="O133" s="587" t="s">
        <v>36</v>
      </c>
      <c r="P133" s="587" t="s">
        <v>525</v>
      </c>
      <c r="Q133" s="80"/>
      <c r="R133" s="610" t="s">
        <v>568</v>
      </c>
      <c r="S133" s="595"/>
      <c r="T133" s="595"/>
      <c r="U133" s="595"/>
      <c r="V133" s="595"/>
      <c r="W133" s="595"/>
      <c r="X133" s="595"/>
      <c r="Y133" s="595"/>
      <c r="Z133" s="595"/>
      <c r="AA133" s="595"/>
      <c r="AB133" s="595"/>
      <c r="AC133" s="595"/>
      <c r="AD133" s="595"/>
      <c r="AE133" s="595"/>
      <c r="AF133" s="595"/>
      <c r="AG133" s="595"/>
      <c r="AH133" s="595"/>
      <c r="AI133" s="595"/>
      <c r="AJ133" s="595"/>
      <c r="AK133" s="595"/>
      <c r="AL133" s="595"/>
      <c r="AM133" s="595"/>
    </row>
    <row r="134" spans="1:39" ht="92.1" hidden="1" x14ac:dyDescent="0.35">
      <c r="A134" s="586">
        <f t="shared" si="5"/>
        <v>115</v>
      </c>
      <c r="B134" s="587" t="s">
        <v>518</v>
      </c>
      <c r="C134" s="588">
        <v>80101706</v>
      </c>
      <c r="D134" s="589" t="s">
        <v>519</v>
      </c>
      <c r="E134" s="587" t="s">
        <v>48</v>
      </c>
      <c r="F134" s="587">
        <v>1</v>
      </c>
      <c r="G134" s="590" t="s">
        <v>73</v>
      </c>
      <c r="H134" s="591">
        <v>5</v>
      </c>
      <c r="I134" s="587" t="s">
        <v>61</v>
      </c>
      <c r="J134" s="587" t="s">
        <v>35</v>
      </c>
      <c r="K134" s="587" t="s">
        <v>439</v>
      </c>
      <c r="L134" s="592">
        <v>30000000</v>
      </c>
      <c r="M134" s="593">
        <v>30000000</v>
      </c>
      <c r="N134" s="587" t="s">
        <v>51</v>
      </c>
      <c r="O134" s="587" t="s">
        <v>36</v>
      </c>
      <c r="P134" s="587" t="s">
        <v>475</v>
      </c>
      <c r="Q134" s="80"/>
      <c r="R134" s="610" t="s">
        <v>246</v>
      </c>
      <c r="S134" s="595"/>
      <c r="T134" s="595"/>
      <c r="U134" s="595"/>
      <c r="V134" s="595"/>
      <c r="W134" s="595"/>
      <c r="X134" s="595"/>
      <c r="Y134" s="595"/>
      <c r="Z134" s="595"/>
      <c r="AA134" s="595"/>
      <c r="AB134" s="595"/>
      <c r="AC134" s="595"/>
      <c r="AD134" s="595"/>
      <c r="AE134" s="595"/>
      <c r="AF134" s="595"/>
      <c r="AG134" s="595"/>
      <c r="AH134" s="595"/>
      <c r="AI134" s="595"/>
      <c r="AJ134" s="595"/>
      <c r="AK134" s="595"/>
      <c r="AL134" s="595"/>
      <c r="AM134" s="595"/>
    </row>
    <row r="135" spans="1:39" ht="92.1" hidden="1" x14ac:dyDescent="0.35">
      <c r="A135" s="586">
        <f t="shared" si="5"/>
        <v>116</v>
      </c>
      <c r="B135" s="587" t="s">
        <v>264</v>
      </c>
      <c r="C135" s="588">
        <v>80101706</v>
      </c>
      <c r="D135" s="589" t="s">
        <v>520</v>
      </c>
      <c r="E135" s="587" t="s">
        <v>48</v>
      </c>
      <c r="F135" s="587">
        <v>1</v>
      </c>
      <c r="G135" s="590" t="s">
        <v>73</v>
      </c>
      <c r="H135" s="591" t="s">
        <v>202</v>
      </c>
      <c r="I135" s="587" t="s">
        <v>61</v>
      </c>
      <c r="J135" s="587" t="s">
        <v>35</v>
      </c>
      <c r="K135" s="587" t="s">
        <v>439</v>
      </c>
      <c r="L135" s="592">
        <v>32320200</v>
      </c>
      <c r="M135" s="593">
        <v>32320200</v>
      </c>
      <c r="N135" s="587" t="s">
        <v>51</v>
      </c>
      <c r="O135" s="587" t="s">
        <v>36</v>
      </c>
      <c r="P135" s="587" t="s">
        <v>320</v>
      </c>
      <c r="Q135" s="80"/>
      <c r="R135" s="610" t="s">
        <v>302</v>
      </c>
      <c r="S135" s="595"/>
      <c r="T135" s="595"/>
      <c r="U135" s="595"/>
      <c r="V135" s="595"/>
      <c r="W135" s="595"/>
      <c r="X135" s="595"/>
      <c r="Y135" s="595"/>
      <c r="Z135" s="595"/>
      <c r="AA135" s="595"/>
      <c r="AB135" s="595"/>
      <c r="AC135" s="595"/>
      <c r="AD135" s="595"/>
      <c r="AE135" s="595"/>
      <c r="AF135" s="595"/>
      <c r="AG135" s="595"/>
      <c r="AH135" s="595"/>
      <c r="AI135" s="595"/>
      <c r="AJ135" s="595"/>
      <c r="AK135" s="595"/>
      <c r="AL135" s="595"/>
      <c r="AM135" s="595"/>
    </row>
    <row r="136" spans="1:39" ht="116.25" x14ac:dyDescent="0.25">
      <c r="A136" s="586">
        <f t="shared" si="5"/>
        <v>117</v>
      </c>
      <c r="B136" s="587" t="s">
        <v>521</v>
      </c>
      <c r="C136" s="588">
        <v>80101706</v>
      </c>
      <c r="D136" s="589" t="s">
        <v>522</v>
      </c>
      <c r="E136" s="587" t="s">
        <v>48</v>
      </c>
      <c r="F136" s="587">
        <v>1</v>
      </c>
      <c r="G136" s="590" t="s">
        <v>73</v>
      </c>
      <c r="H136" s="591">
        <v>5</v>
      </c>
      <c r="I136" s="587" t="s">
        <v>61</v>
      </c>
      <c r="J136" s="587" t="s">
        <v>66</v>
      </c>
      <c r="K136" s="587" t="s">
        <v>493</v>
      </c>
      <c r="L136" s="592">
        <v>56450000</v>
      </c>
      <c r="M136" s="593">
        <v>56450000</v>
      </c>
      <c r="N136" s="587" t="s">
        <v>51</v>
      </c>
      <c r="O136" s="587" t="s">
        <v>36</v>
      </c>
      <c r="P136" s="587" t="s">
        <v>523</v>
      </c>
      <c r="Q136" s="80"/>
      <c r="R136" s="610" t="s">
        <v>563</v>
      </c>
      <c r="S136" s="595"/>
      <c r="T136" s="595"/>
      <c r="U136" s="595"/>
      <c r="V136" s="595"/>
      <c r="W136" s="595"/>
      <c r="X136" s="595"/>
      <c r="Y136" s="595"/>
      <c r="Z136" s="595"/>
      <c r="AA136" s="595"/>
      <c r="AB136" s="595"/>
      <c r="AC136" s="595"/>
      <c r="AD136" s="595"/>
      <c r="AE136" s="595"/>
      <c r="AF136" s="595"/>
      <c r="AG136" s="595"/>
      <c r="AH136" s="595"/>
      <c r="AI136" s="595"/>
      <c r="AJ136" s="595"/>
      <c r="AK136" s="595"/>
      <c r="AL136" s="595"/>
      <c r="AM136" s="595"/>
    </row>
    <row r="137" spans="1:39" ht="116.25" x14ac:dyDescent="0.25">
      <c r="A137" s="586">
        <f t="shared" si="5"/>
        <v>118</v>
      </c>
      <c r="B137" s="587" t="s">
        <v>521</v>
      </c>
      <c r="C137" s="588">
        <v>80101706</v>
      </c>
      <c r="D137" s="589" t="s">
        <v>522</v>
      </c>
      <c r="E137" s="587" t="s">
        <v>48</v>
      </c>
      <c r="F137" s="587">
        <v>1</v>
      </c>
      <c r="G137" s="590" t="s">
        <v>73</v>
      </c>
      <c r="H137" s="591">
        <v>5</v>
      </c>
      <c r="I137" s="587" t="s">
        <v>61</v>
      </c>
      <c r="J137" s="587" t="s">
        <v>66</v>
      </c>
      <c r="K137" s="587" t="s">
        <v>493</v>
      </c>
      <c r="L137" s="592">
        <v>25040000</v>
      </c>
      <c r="M137" s="593">
        <v>25040000</v>
      </c>
      <c r="N137" s="587" t="s">
        <v>51</v>
      </c>
      <c r="O137" s="587" t="s">
        <v>36</v>
      </c>
      <c r="P137" s="587" t="s">
        <v>523</v>
      </c>
      <c r="Q137" s="80"/>
      <c r="R137" s="610" t="s">
        <v>254</v>
      </c>
      <c r="S137" s="595"/>
      <c r="T137" s="595"/>
      <c r="U137" s="595"/>
      <c r="V137" s="595"/>
      <c r="W137" s="595"/>
      <c r="X137" s="595"/>
      <c r="Y137" s="595"/>
      <c r="Z137" s="595"/>
      <c r="AA137" s="595"/>
      <c r="AB137" s="595"/>
      <c r="AC137" s="595"/>
      <c r="AD137" s="595"/>
      <c r="AE137" s="595"/>
      <c r="AF137" s="595"/>
      <c r="AG137" s="595"/>
      <c r="AH137" s="595"/>
      <c r="AI137" s="595"/>
      <c r="AJ137" s="595"/>
      <c r="AK137" s="595"/>
      <c r="AL137" s="595"/>
      <c r="AM137" s="595"/>
    </row>
    <row r="138" spans="1:39" ht="116.25" x14ac:dyDescent="0.25">
      <c r="A138" s="586">
        <f t="shared" si="5"/>
        <v>119</v>
      </c>
      <c r="B138" s="587" t="s">
        <v>521</v>
      </c>
      <c r="C138" s="588">
        <v>80101706</v>
      </c>
      <c r="D138" s="589" t="s">
        <v>522</v>
      </c>
      <c r="E138" s="587" t="s">
        <v>48</v>
      </c>
      <c r="F138" s="587">
        <v>1</v>
      </c>
      <c r="G138" s="590" t="s">
        <v>73</v>
      </c>
      <c r="H138" s="591">
        <v>5</v>
      </c>
      <c r="I138" s="587" t="s">
        <v>61</v>
      </c>
      <c r="J138" s="587" t="s">
        <v>66</v>
      </c>
      <c r="K138" s="587" t="s">
        <v>493</v>
      </c>
      <c r="L138" s="592">
        <v>45000000</v>
      </c>
      <c r="M138" s="593">
        <v>45000000</v>
      </c>
      <c r="N138" s="587" t="s">
        <v>51</v>
      </c>
      <c r="O138" s="587" t="s">
        <v>36</v>
      </c>
      <c r="P138" s="587" t="s">
        <v>523</v>
      </c>
      <c r="Q138" s="80"/>
      <c r="R138" s="610" t="s">
        <v>564</v>
      </c>
      <c r="S138" s="595"/>
      <c r="T138" s="595"/>
      <c r="U138" s="595"/>
      <c r="V138" s="595"/>
      <c r="W138" s="595"/>
      <c r="X138" s="595"/>
      <c r="Y138" s="595"/>
      <c r="Z138" s="595"/>
      <c r="AA138" s="595"/>
      <c r="AB138" s="595"/>
      <c r="AC138" s="595"/>
      <c r="AD138" s="595"/>
      <c r="AE138" s="595"/>
      <c r="AF138" s="595"/>
      <c r="AG138" s="595"/>
      <c r="AH138" s="595"/>
      <c r="AI138" s="595"/>
      <c r="AJ138" s="595"/>
      <c r="AK138" s="595"/>
      <c r="AL138" s="595"/>
      <c r="AM138" s="595"/>
    </row>
    <row r="139" spans="1:39" ht="116.25" x14ac:dyDescent="0.25">
      <c r="A139" s="586">
        <f t="shared" si="5"/>
        <v>120</v>
      </c>
      <c r="B139" s="587" t="s">
        <v>521</v>
      </c>
      <c r="C139" s="588">
        <v>80101706</v>
      </c>
      <c r="D139" s="589" t="s">
        <v>522</v>
      </c>
      <c r="E139" s="587" t="s">
        <v>48</v>
      </c>
      <c r="F139" s="587">
        <v>1</v>
      </c>
      <c r="G139" s="590" t="s">
        <v>73</v>
      </c>
      <c r="H139" s="591">
        <v>5</v>
      </c>
      <c r="I139" s="587" t="s">
        <v>61</v>
      </c>
      <c r="J139" s="587" t="s">
        <v>66</v>
      </c>
      <c r="K139" s="587" t="s">
        <v>493</v>
      </c>
      <c r="L139" s="592">
        <v>35830000</v>
      </c>
      <c r="M139" s="593">
        <v>35830000</v>
      </c>
      <c r="N139" s="587" t="s">
        <v>51</v>
      </c>
      <c r="O139" s="587" t="s">
        <v>36</v>
      </c>
      <c r="P139" s="587" t="s">
        <v>523</v>
      </c>
      <c r="Q139" s="80"/>
      <c r="R139" s="610" t="s">
        <v>565</v>
      </c>
      <c r="S139" s="595"/>
      <c r="T139" s="595"/>
      <c r="U139" s="595"/>
      <c r="V139" s="595"/>
      <c r="W139" s="595"/>
      <c r="X139" s="595"/>
      <c r="Y139" s="595"/>
      <c r="Z139" s="595"/>
      <c r="AA139" s="595"/>
      <c r="AB139" s="595"/>
      <c r="AC139" s="595"/>
      <c r="AD139" s="595"/>
      <c r="AE139" s="595"/>
      <c r="AF139" s="595"/>
      <c r="AG139" s="595"/>
      <c r="AH139" s="595"/>
      <c r="AI139" s="595"/>
      <c r="AJ139" s="595"/>
      <c r="AK139" s="595"/>
      <c r="AL139" s="595"/>
      <c r="AM139" s="595"/>
    </row>
    <row r="140" spans="1:39" ht="116.25" x14ac:dyDescent="0.25">
      <c r="A140" s="586">
        <f t="shared" si="5"/>
        <v>121</v>
      </c>
      <c r="B140" s="587" t="s">
        <v>521</v>
      </c>
      <c r="C140" s="588">
        <v>80101706</v>
      </c>
      <c r="D140" s="589" t="s">
        <v>522</v>
      </c>
      <c r="E140" s="587" t="s">
        <v>48</v>
      </c>
      <c r="F140" s="587">
        <v>1</v>
      </c>
      <c r="G140" s="590" t="s">
        <v>73</v>
      </c>
      <c r="H140" s="591">
        <v>5</v>
      </c>
      <c r="I140" s="587" t="s">
        <v>61</v>
      </c>
      <c r="J140" s="587" t="s">
        <v>66</v>
      </c>
      <c r="K140" s="587" t="s">
        <v>493</v>
      </c>
      <c r="L140" s="592">
        <v>14000000</v>
      </c>
      <c r="M140" s="593">
        <v>14000000</v>
      </c>
      <c r="N140" s="587" t="s">
        <v>51</v>
      </c>
      <c r="O140" s="587" t="s">
        <v>36</v>
      </c>
      <c r="P140" s="587" t="s">
        <v>523</v>
      </c>
      <c r="Q140" s="80"/>
      <c r="R140" s="610" t="s">
        <v>566</v>
      </c>
      <c r="S140" s="595"/>
      <c r="T140" s="595"/>
      <c r="U140" s="595"/>
      <c r="V140" s="595"/>
      <c r="W140" s="595"/>
      <c r="X140" s="595"/>
      <c r="Y140" s="595"/>
      <c r="Z140" s="595"/>
      <c r="AA140" s="595"/>
      <c r="AB140" s="595"/>
      <c r="AC140" s="595"/>
      <c r="AD140" s="595"/>
      <c r="AE140" s="595"/>
      <c r="AF140" s="595"/>
      <c r="AG140" s="595"/>
      <c r="AH140" s="595"/>
      <c r="AI140" s="595"/>
      <c r="AJ140" s="595"/>
      <c r="AK140" s="595"/>
      <c r="AL140" s="595"/>
      <c r="AM140" s="595"/>
    </row>
    <row r="141" spans="1:39" ht="69" hidden="1" x14ac:dyDescent="0.35">
      <c r="A141" s="586">
        <f t="shared" si="5"/>
        <v>122</v>
      </c>
      <c r="B141" s="587" t="s">
        <v>266</v>
      </c>
      <c r="C141" s="588">
        <v>80101706</v>
      </c>
      <c r="D141" s="589" t="s">
        <v>526</v>
      </c>
      <c r="E141" s="587" t="s">
        <v>48</v>
      </c>
      <c r="F141" s="587">
        <v>1</v>
      </c>
      <c r="G141" s="590" t="s">
        <v>73</v>
      </c>
      <c r="H141" s="591">
        <v>5</v>
      </c>
      <c r="I141" s="587" t="s">
        <v>61</v>
      </c>
      <c r="J141" s="587" t="s">
        <v>66</v>
      </c>
      <c r="K141" s="587" t="s">
        <v>473</v>
      </c>
      <c r="L141" s="592">
        <v>24485000</v>
      </c>
      <c r="M141" s="593">
        <v>24485000</v>
      </c>
      <c r="N141" s="587" t="s">
        <v>51</v>
      </c>
      <c r="O141" s="587" t="s">
        <v>36</v>
      </c>
      <c r="P141" s="587" t="s">
        <v>527</v>
      </c>
      <c r="Q141" s="80"/>
      <c r="R141" s="610" t="s">
        <v>569</v>
      </c>
      <c r="S141" s="595"/>
      <c r="T141" s="595"/>
      <c r="U141" s="595"/>
      <c r="V141" s="595"/>
      <c r="W141" s="595"/>
      <c r="X141" s="595"/>
      <c r="Y141" s="595"/>
      <c r="Z141" s="595"/>
      <c r="AA141" s="595"/>
      <c r="AB141" s="595"/>
      <c r="AC141" s="595"/>
      <c r="AD141" s="595"/>
      <c r="AE141" s="595"/>
      <c r="AF141" s="595"/>
      <c r="AG141" s="595"/>
      <c r="AH141" s="595"/>
      <c r="AI141" s="595"/>
      <c r="AJ141" s="595"/>
      <c r="AK141" s="595"/>
      <c r="AL141" s="595"/>
      <c r="AM141" s="595"/>
    </row>
    <row r="142" spans="1:39" ht="69" hidden="1" x14ac:dyDescent="0.35">
      <c r="A142" s="586">
        <f t="shared" si="5"/>
        <v>123</v>
      </c>
      <c r="B142" s="587" t="s">
        <v>266</v>
      </c>
      <c r="C142" s="588">
        <v>80101706</v>
      </c>
      <c r="D142" s="589" t="s">
        <v>526</v>
      </c>
      <c r="E142" s="587" t="s">
        <v>48</v>
      </c>
      <c r="F142" s="587">
        <v>1</v>
      </c>
      <c r="G142" s="590" t="s">
        <v>73</v>
      </c>
      <c r="H142" s="591">
        <v>5</v>
      </c>
      <c r="I142" s="587" t="s">
        <v>61</v>
      </c>
      <c r="J142" s="587" t="s">
        <v>66</v>
      </c>
      <c r="K142" s="587" t="s">
        <v>473</v>
      </c>
      <c r="L142" s="592">
        <v>19475000</v>
      </c>
      <c r="M142" s="593">
        <v>19475000</v>
      </c>
      <c r="N142" s="587" t="s">
        <v>51</v>
      </c>
      <c r="O142" s="587" t="s">
        <v>36</v>
      </c>
      <c r="P142" s="587" t="s">
        <v>527</v>
      </c>
      <c r="Q142" s="80"/>
      <c r="R142" s="610" t="s">
        <v>258</v>
      </c>
      <c r="S142" s="595"/>
      <c r="T142" s="595"/>
      <c r="U142" s="595"/>
      <c r="V142" s="595"/>
      <c r="W142" s="595"/>
      <c r="X142" s="595"/>
      <c r="Y142" s="595"/>
      <c r="Z142" s="595"/>
      <c r="AA142" s="595"/>
      <c r="AB142" s="595"/>
      <c r="AC142" s="595"/>
      <c r="AD142" s="595"/>
      <c r="AE142" s="595"/>
      <c r="AF142" s="595"/>
      <c r="AG142" s="595"/>
      <c r="AH142" s="595"/>
      <c r="AI142" s="595"/>
      <c r="AJ142" s="595"/>
      <c r="AK142" s="595"/>
      <c r="AL142" s="595"/>
      <c r="AM142" s="595"/>
    </row>
    <row r="143" spans="1:39" ht="69" hidden="1" x14ac:dyDescent="0.35">
      <c r="A143" s="586">
        <f t="shared" si="5"/>
        <v>124</v>
      </c>
      <c r="B143" s="587" t="s">
        <v>267</v>
      </c>
      <c r="C143" s="588">
        <v>80101706</v>
      </c>
      <c r="D143" s="589" t="s">
        <v>528</v>
      </c>
      <c r="E143" s="587" t="s">
        <v>48</v>
      </c>
      <c r="F143" s="587">
        <v>1</v>
      </c>
      <c r="G143" s="590" t="s">
        <v>73</v>
      </c>
      <c r="H143" s="591">
        <v>5</v>
      </c>
      <c r="I143" s="587" t="s">
        <v>61</v>
      </c>
      <c r="J143" s="587" t="s">
        <v>66</v>
      </c>
      <c r="K143" s="587" t="s">
        <v>473</v>
      </c>
      <c r="L143" s="592">
        <v>18365000</v>
      </c>
      <c r="M143" s="593">
        <v>18365000</v>
      </c>
      <c r="N143" s="587" t="s">
        <v>51</v>
      </c>
      <c r="O143" s="587" t="s">
        <v>36</v>
      </c>
      <c r="P143" s="587" t="s">
        <v>527</v>
      </c>
      <c r="Q143" s="80"/>
      <c r="R143" s="610" t="s">
        <v>263</v>
      </c>
      <c r="S143" s="595"/>
      <c r="T143" s="595"/>
      <c r="U143" s="595"/>
      <c r="V143" s="595"/>
      <c r="W143" s="595"/>
      <c r="X143" s="595"/>
      <c r="Y143" s="595"/>
      <c r="Z143" s="595"/>
      <c r="AA143" s="595"/>
      <c r="AB143" s="595"/>
      <c r="AC143" s="595"/>
      <c r="AD143" s="595"/>
      <c r="AE143" s="595"/>
      <c r="AF143" s="595"/>
      <c r="AG143" s="595"/>
      <c r="AH143" s="595"/>
      <c r="AI143" s="595"/>
      <c r="AJ143" s="595"/>
      <c r="AK143" s="595"/>
      <c r="AL143" s="595"/>
      <c r="AM143" s="595"/>
    </row>
    <row r="144" spans="1:39" ht="69" hidden="1" x14ac:dyDescent="0.35">
      <c r="A144" s="586">
        <f t="shared" si="5"/>
        <v>125</v>
      </c>
      <c r="B144" s="587" t="s">
        <v>267</v>
      </c>
      <c r="C144" s="588">
        <v>80101706</v>
      </c>
      <c r="D144" s="589" t="s">
        <v>528</v>
      </c>
      <c r="E144" s="587" t="s">
        <v>48</v>
      </c>
      <c r="F144" s="587">
        <v>1</v>
      </c>
      <c r="G144" s="590" t="s">
        <v>73</v>
      </c>
      <c r="H144" s="591">
        <v>5</v>
      </c>
      <c r="I144" s="587" t="s">
        <v>61</v>
      </c>
      <c r="J144" s="587" t="s">
        <v>66</v>
      </c>
      <c r="K144" s="587" t="s">
        <v>473</v>
      </c>
      <c r="L144" s="592">
        <v>25000000</v>
      </c>
      <c r="M144" s="593">
        <v>25000000</v>
      </c>
      <c r="N144" s="587" t="s">
        <v>51</v>
      </c>
      <c r="O144" s="587" t="s">
        <v>36</v>
      </c>
      <c r="P144" s="587" t="s">
        <v>527</v>
      </c>
      <c r="Q144" s="80"/>
      <c r="R144" s="610" t="s">
        <v>272</v>
      </c>
      <c r="S144" s="595"/>
      <c r="T144" s="595"/>
      <c r="U144" s="595"/>
      <c r="V144" s="595"/>
      <c r="W144" s="595"/>
      <c r="X144" s="595"/>
      <c r="Y144" s="595"/>
      <c r="Z144" s="595"/>
      <c r="AA144" s="595"/>
      <c r="AB144" s="595"/>
      <c r="AC144" s="595"/>
      <c r="AD144" s="595"/>
      <c r="AE144" s="595"/>
      <c r="AF144" s="595"/>
      <c r="AG144" s="595"/>
      <c r="AH144" s="595"/>
      <c r="AI144" s="595"/>
      <c r="AJ144" s="595"/>
      <c r="AK144" s="595"/>
      <c r="AL144" s="595"/>
      <c r="AM144" s="595"/>
    </row>
    <row r="145" spans="1:39" ht="69" hidden="1" x14ac:dyDescent="0.35">
      <c r="A145" s="586">
        <f t="shared" si="5"/>
        <v>126</v>
      </c>
      <c r="B145" s="587" t="s">
        <v>267</v>
      </c>
      <c r="C145" s="588">
        <v>80101706</v>
      </c>
      <c r="D145" s="589" t="s">
        <v>528</v>
      </c>
      <c r="E145" s="587" t="s">
        <v>48</v>
      </c>
      <c r="F145" s="587">
        <v>1</v>
      </c>
      <c r="G145" s="590" t="s">
        <v>73</v>
      </c>
      <c r="H145" s="591">
        <v>5</v>
      </c>
      <c r="I145" s="587" t="s">
        <v>61</v>
      </c>
      <c r="J145" s="587" t="s">
        <v>66</v>
      </c>
      <c r="K145" s="587" t="s">
        <v>473</v>
      </c>
      <c r="L145" s="592">
        <v>25000000</v>
      </c>
      <c r="M145" s="593">
        <v>25000000</v>
      </c>
      <c r="N145" s="587" t="s">
        <v>51</v>
      </c>
      <c r="O145" s="587" t="s">
        <v>36</v>
      </c>
      <c r="P145" s="587" t="s">
        <v>527</v>
      </c>
      <c r="Q145" s="80"/>
      <c r="R145" s="610" t="s">
        <v>273</v>
      </c>
      <c r="S145" s="595"/>
      <c r="T145" s="595"/>
      <c r="U145" s="595"/>
      <c r="V145" s="595"/>
      <c r="W145" s="595"/>
      <c r="X145" s="595"/>
      <c r="Y145" s="595"/>
      <c r="Z145" s="595"/>
      <c r="AA145" s="595"/>
      <c r="AB145" s="595"/>
      <c r="AC145" s="595"/>
      <c r="AD145" s="595"/>
      <c r="AE145" s="595"/>
      <c r="AF145" s="595"/>
      <c r="AG145" s="595"/>
      <c r="AH145" s="595"/>
      <c r="AI145" s="595"/>
      <c r="AJ145" s="595"/>
      <c r="AK145" s="595"/>
      <c r="AL145" s="595"/>
      <c r="AM145" s="595"/>
    </row>
    <row r="146" spans="1:39" ht="92.1" hidden="1" x14ac:dyDescent="0.35">
      <c r="A146" s="586">
        <f t="shared" si="5"/>
        <v>127</v>
      </c>
      <c r="B146" s="587" t="s">
        <v>529</v>
      </c>
      <c r="C146" s="588">
        <v>80101706</v>
      </c>
      <c r="D146" s="589" t="s">
        <v>530</v>
      </c>
      <c r="E146" s="587" t="s">
        <v>48</v>
      </c>
      <c r="F146" s="587">
        <v>1</v>
      </c>
      <c r="G146" s="590" t="s">
        <v>73</v>
      </c>
      <c r="H146" s="591">
        <v>5</v>
      </c>
      <c r="I146" s="587" t="s">
        <v>61</v>
      </c>
      <c r="J146" s="587" t="s">
        <v>66</v>
      </c>
      <c r="K146" s="587" t="s">
        <v>473</v>
      </c>
      <c r="L146" s="592">
        <v>36750000</v>
      </c>
      <c r="M146" s="593">
        <v>36750000</v>
      </c>
      <c r="N146" s="587" t="s">
        <v>51</v>
      </c>
      <c r="O146" s="587" t="s">
        <v>36</v>
      </c>
      <c r="P146" s="587" t="s">
        <v>531</v>
      </c>
      <c r="Q146" s="80"/>
      <c r="R146" s="610" t="s">
        <v>260</v>
      </c>
      <c r="S146" s="595"/>
      <c r="T146" s="595"/>
      <c r="U146" s="595"/>
      <c r="V146" s="595"/>
      <c r="W146" s="595"/>
      <c r="X146" s="595"/>
      <c r="Y146" s="595"/>
      <c r="Z146" s="595"/>
      <c r="AA146" s="595"/>
      <c r="AB146" s="595"/>
      <c r="AC146" s="595"/>
      <c r="AD146" s="595"/>
      <c r="AE146" s="595"/>
      <c r="AF146" s="595"/>
      <c r="AG146" s="595"/>
      <c r="AH146" s="595"/>
      <c r="AI146" s="595"/>
      <c r="AJ146" s="595"/>
      <c r="AK146" s="595"/>
      <c r="AL146" s="595"/>
      <c r="AM146" s="595"/>
    </row>
    <row r="147" spans="1:39" ht="92.1" hidden="1" x14ac:dyDescent="0.35">
      <c r="A147" s="586">
        <f t="shared" si="5"/>
        <v>128</v>
      </c>
      <c r="B147" s="587" t="s">
        <v>529</v>
      </c>
      <c r="C147" s="588">
        <v>80101706</v>
      </c>
      <c r="D147" s="589" t="s">
        <v>530</v>
      </c>
      <c r="E147" s="587" t="s">
        <v>48</v>
      </c>
      <c r="F147" s="587">
        <v>1</v>
      </c>
      <c r="G147" s="590" t="s">
        <v>73</v>
      </c>
      <c r="H147" s="591">
        <v>5</v>
      </c>
      <c r="I147" s="587" t="s">
        <v>61</v>
      </c>
      <c r="J147" s="587" t="s">
        <v>66</v>
      </c>
      <c r="K147" s="587" t="s">
        <v>473</v>
      </c>
      <c r="L147" s="592">
        <v>24485000</v>
      </c>
      <c r="M147" s="593">
        <v>24485000</v>
      </c>
      <c r="N147" s="587" t="s">
        <v>51</v>
      </c>
      <c r="O147" s="587" t="s">
        <v>36</v>
      </c>
      <c r="P147" s="587" t="s">
        <v>531</v>
      </c>
      <c r="Q147" s="80"/>
      <c r="R147" s="610" t="s">
        <v>283</v>
      </c>
      <c r="S147" s="595"/>
      <c r="T147" s="595"/>
      <c r="U147" s="595"/>
      <c r="V147" s="595"/>
      <c r="W147" s="595"/>
      <c r="X147" s="595"/>
      <c r="Y147" s="595"/>
      <c r="Z147" s="595"/>
      <c r="AA147" s="595"/>
      <c r="AB147" s="595"/>
      <c r="AC147" s="595"/>
      <c r="AD147" s="595"/>
      <c r="AE147" s="595"/>
      <c r="AF147" s="595"/>
      <c r="AG147" s="595"/>
      <c r="AH147" s="595"/>
      <c r="AI147" s="595"/>
      <c r="AJ147" s="595"/>
      <c r="AK147" s="595"/>
      <c r="AL147" s="595"/>
      <c r="AM147" s="595"/>
    </row>
    <row r="148" spans="1:39" ht="92.1" hidden="1" x14ac:dyDescent="0.35">
      <c r="A148" s="586">
        <f t="shared" si="5"/>
        <v>129</v>
      </c>
      <c r="B148" s="587" t="s">
        <v>529</v>
      </c>
      <c r="C148" s="588">
        <v>80101706</v>
      </c>
      <c r="D148" s="589" t="s">
        <v>530</v>
      </c>
      <c r="E148" s="587" t="s">
        <v>48</v>
      </c>
      <c r="F148" s="587">
        <v>1</v>
      </c>
      <c r="G148" s="590" t="s">
        <v>73</v>
      </c>
      <c r="H148" s="591">
        <v>5</v>
      </c>
      <c r="I148" s="587" t="s">
        <v>61</v>
      </c>
      <c r="J148" s="587" t="s">
        <v>66</v>
      </c>
      <c r="K148" s="587" t="s">
        <v>473</v>
      </c>
      <c r="L148" s="592">
        <v>19475000</v>
      </c>
      <c r="M148" s="593">
        <v>19475000</v>
      </c>
      <c r="N148" s="587" t="s">
        <v>51</v>
      </c>
      <c r="O148" s="587" t="s">
        <v>36</v>
      </c>
      <c r="P148" s="587" t="s">
        <v>531</v>
      </c>
      <c r="Q148" s="80"/>
      <c r="R148" s="610" t="s">
        <v>248</v>
      </c>
      <c r="S148" s="595"/>
      <c r="T148" s="595"/>
      <c r="U148" s="595"/>
      <c r="V148" s="595"/>
      <c r="W148" s="595"/>
      <c r="X148" s="595"/>
      <c r="Y148" s="595"/>
      <c r="Z148" s="595"/>
      <c r="AA148" s="595"/>
      <c r="AB148" s="595"/>
      <c r="AC148" s="595"/>
      <c r="AD148" s="595"/>
      <c r="AE148" s="595"/>
      <c r="AF148" s="595"/>
      <c r="AG148" s="595"/>
      <c r="AH148" s="595"/>
      <c r="AI148" s="595"/>
      <c r="AJ148" s="595"/>
      <c r="AK148" s="595"/>
      <c r="AL148" s="595"/>
      <c r="AM148" s="595"/>
    </row>
    <row r="149" spans="1:39" ht="92.1" hidden="1" x14ac:dyDescent="0.35">
      <c r="A149" s="586">
        <f t="shared" si="5"/>
        <v>130</v>
      </c>
      <c r="B149" s="587" t="s">
        <v>529</v>
      </c>
      <c r="C149" s="588">
        <v>80101706</v>
      </c>
      <c r="D149" s="589" t="s">
        <v>530</v>
      </c>
      <c r="E149" s="587" t="s">
        <v>48</v>
      </c>
      <c r="F149" s="587">
        <v>1</v>
      </c>
      <c r="G149" s="590" t="s">
        <v>73</v>
      </c>
      <c r="H149" s="591">
        <v>5</v>
      </c>
      <c r="I149" s="587" t="s">
        <v>61</v>
      </c>
      <c r="J149" s="587" t="s">
        <v>66</v>
      </c>
      <c r="K149" s="587" t="s">
        <v>473</v>
      </c>
      <c r="L149" s="592">
        <v>36750000</v>
      </c>
      <c r="M149" s="593">
        <v>36750000</v>
      </c>
      <c r="N149" s="587" t="s">
        <v>51</v>
      </c>
      <c r="O149" s="587" t="s">
        <v>36</v>
      </c>
      <c r="P149" s="587" t="s">
        <v>531</v>
      </c>
      <c r="Q149" s="80"/>
      <c r="R149" s="610" t="s">
        <v>279</v>
      </c>
      <c r="S149" s="595"/>
      <c r="T149" s="595"/>
      <c r="U149" s="595"/>
      <c r="V149" s="595"/>
      <c r="W149" s="595"/>
      <c r="X149" s="595"/>
      <c r="Y149" s="595"/>
      <c r="Z149" s="595"/>
      <c r="AA149" s="595"/>
      <c r="AB149" s="595"/>
      <c r="AC149" s="595"/>
      <c r="AD149" s="595"/>
      <c r="AE149" s="595"/>
      <c r="AF149" s="595"/>
      <c r="AG149" s="595"/>
      <c r="AH149" s="595"/>
      <c r="AI149" s="595"/>
      <c r="AJ149" s="595"/>
      <c r="AK149" s="595"/>
      <c r="AL149" s="595"/>
      <c r="AM149" s="595"/>
    </row>
    <row r="150" spans="1:39" ht="92.1" hidden="1" x14ac:dyDescent="0.35">
      <c r="A150" s="586">
        <f t="shared" si="5"/>
        <v>131</v>
      </c>
      <c r="B150" s="587" t="s">
        <v>529</v>
      </c>
      <c r="C150" s="588">
        <v>80101706</v>
      </c>
      <c r="D150" s="589" t="s">
        <v>530</v>
      </c>
      <c r="E150" s="587" t="s">
        <v>48</v>
      </c>
      <c r="F150" s="587">
        <v>1</v>
      </c>
      <c r="G150" s="590" t="s">
        <v>73</v>
      </c>
      <c r="H150" s="591">
        <v>5</v>
      </c>
      <c r="I150" s="587" t="s">
        <v>61</v>
      </c>
      <c r="J150" s="587" t="s">
        <v>66</v>
      </c>
      <c r="K150" s="587" t="s">
        <v>473</v>
      </c>
      <c r="L150" s="592">
        <v>36750000</v>
      </c>
      <c r="M150" s="593">
        <v>36750000</v>
      </c>
      <c r="N150" s="587" t="s">
        <v>51</v>
      </c>
      <c r="O150" s="587" t="s">
        <v>36</v>
      </c>
      <c r="P150" s="587" t="s">
        <v>531</v>
      </c>
      <c r="Q150" s="80"/>
      <c r="R150" s="610" t="s">
        <v>570</v>
      </c>
      <c r="S150" s="595"/>
      <c r="T150" s="595"/>
      <c r="U150" s="595"/>
      <c r="V150" s="595"/>
      <c r="W150" s="595"/>
      <c r="X150" s="595"/>
      <c r="Y150" s="595"/>
      <c r="Z150" s="595"/>
      <c r="AA150" s="595"/>
      <c r="AB150" s="595"/>
      <c r="AC150" s="595"/>
      <c r="AD150" s="595"/>
      <c r="AE150" s="595"/>
      <c r="AF150" s="595"/>
      <c r="AG150" s="595"/>
      <c r="AH150" s="595"/>
      <c r="AI150" s="595"/>
      <c r="AJ150" s="595"/>
      <c r="AK150" s="595"/>
      <c r="AL150" s="595"/>
      <c r="AM150" s="595"/>
    </row>
    <row r="151" spans="1:39" ht="114.95" hidden="1" x14ac:dyDescent="0.35">
      <c r="A151" s="586">
        <f t="shared" si="5"/>
        <v>132</v>
      </c>
      <c r="B151" s="587" t="s">
        <v>171</v>
      </c>
      <c r="C151" s="588">
        <v>80101706</v>
      </c>
      <c r="D151" s="589" t="s">
        <v>532</v>
      </c>
      <c r="E151" s="587" t="s">
        <v>48</v>
      </c>
      <c r="F151" s="587">
        <v>1</v>
      </c>
      <c r="G151" s="590" t="s">
        <v>73</v>
      </c>
      <c r="H151" s="591">
        <v>5</v>
      </c>
      <c r="I151" s="587" t="s">
        <v>61</v>
      </c>
      <c r="J151" s="587" t="s">
        <v>66</v>
      </c>
      <c r="K151" s="587" t="s">
        <v>473</v>
      </c>
      <c r="L151" s="592">
        <v>8425000</v>
      </c>
      <c r="M151" s="593">
        <v>8425000</v>
      </c>
      <c r="N151" s="587" t="s">
        <v>51</v>
      </c>
      <c r="O151" s="587" t="s">
        <v>36</v>
      </c>
      <c r="P151" s="587" t="s">
        <v>533</v>
      </c>
      <c r="Q151" s="80"/>
      <c r="R151" s="610" t="s">
        <v>571</v>
      </c>
      <c r="S151" s="595"/>
      <c r="T151" s="595"/>
      <c r="U151" s="595"/>
      <c r="V151" s="595"/>
      <c r="W151" s="595"/>
      <c r="X151" s="595"/>
      <c r="Y151" s="595"/>
      <c r="Z151" s="595"/>
      <c r="AA151" s="595"/>
      <c r="AB151" s="595"/>
      <c r="AC151" s="595"/>
      <c r="AD151" s="595"/>
      <c r="AE151" s="595"/>
      <c r="AF151" s="595"/>
      <c r="AG151" s="595"/>
      <c r="AH151" s="595"/>
      <c r="AI151" s="595"/>
      <c r="AJ151" s="595"/>
      <c r="AK151" s="595"/>
      <c r="AL151" s="595"/>
      <c r="AM151" s="595"/>
    </row>
    <row r="152" spans="1:39" ht="114.95" hidden="1" x14ac:dyDescent="0.35">
      <c r="A152" s="586">
        <f t="shared" si="5"/>
        <v>133</v>
      </c>
      <c r="B152" s="587" t="s">
        <v>171</v>
      </c>
      <c r="C152" s="588">
        <v>80101706</v>
      </c>
      <c r="D152" s="589" t="s">
        <v>534</v>
      </c>
      <c r="E152" s="587" t="s">
        <v>48</v>
      </c>
      <c r="F152" s="587">
        <v>1</v>
      </c>
      <c r="G152" s="590" t="s">
        <v>73</v>
      </c>
      <c r="H152" s="591">
        <v>5</v>
      </c>
      <c r="I152" s="587" t="s">
        <v>61</v>
      </c>
      <c r="J152" s="587" t="s">
        <v>66</v>
      </c>
      <c r="K152" s="587" t="s">
        <v>473</v>
      </c>
      <c r="L152" s="592">
        <v>17590000</v>
      </c>
      <c r="M152" s="593">
        <v>17590000</v>
      </c>
      <c r="N152" s="587" t="s">
        <v>51</v>
      </c>
      <c r="O152" s="587" t="s">
        <v>36</v>
      </c>
      <c r="P152" s="587" t="s">
        <v>533</v>
      </c>
      <c r="Q152" s="80"/>
      <c r="R152" s="610" t="s">
        <v>238</v>
      </c>
      <c r="S152" s="595"/>
      <c r="T152" s="595"/>
      <c r="U152" s="595"/>
      <c r="V152" s="595"/>
      <c r="W152" s="595"/>
      <c r="X152" s="595"/>
      <c r="Y152" s="595"/>
      <c r="Z152" s="595"/>
      <c r="AA152" s="595"/>
      <c r="AB152" s="595"/>
      <c r="AC152" s="595"/>
      <c r="AD152" s="595"/>
      <c r="AE152" s="595"/>
      <c r="AF152" s="595"/>
      <c r="AG152" s="595"/>
      <c r="AH152" s="595"/>
      <c r="AI152" s="595"/>
      <c r="AJ152" s="595"/>
      <c r="AK152" s="595"/>
      <c r="AL152" s="595"/>
      <c r="AM152" s="595"/>
    </row>
    <row r="153" spans="1:39" ht="114.95" hidden="1" x14ac:dyDescent="0.35">
      <c r="A153" s="586">
        <f t="shared" si="5"/>
        <v>134</v>
      </c>
      <c r="B153" s="587" t="s">
        <v>171</v>
      </c>
      <c r="C153" s="588">
        <v>80101706</v>
      </c>
      <c r="D153" s="589" t="s">
        <v>534</v>
      </c>
      <c r="E153" s="587" t="s">
        <v>48</v>
      </c>
      <c r="F153" s="587">
        <v>1</v>
      </c>
      <c r="G153" s="590" t="s">
        <v>73</v>
      </c>
      <c r="H153" s="591">
        <v>5</v>
      </c>
      <c r="I153" s="587" t="s">
        <v>61</v>
      </c>
      <c r="J153" s="587" t="s">
        <v>66</v>
      </c>
      <c r="K153" s="587" t="s">
        <v>473</v>
      </c>
      <c r="L153" s="592">
        <v>45927500</v>
      </c>
      <c r="M153" s="593">
        <v>45927500</v>
      </c>
      <c r="N153" s="587" t="s">
        <v>51</v>
      </c>
      <c r="O153" s="587" t="s">
        <v>36</v>
      </c>
      <c r="P153" s="587" t="s">
        <v>533</v>
      </c>
      <c r="Q153" s="80"/>
      <c r="R153" s="610" t="s">
        <v>239</v>
      </c>
      <c r="S153" s="595"/>
      <c r="T153" s="595"/>
      <c r="U153" s="595"/>
      <c r="V153" s="595"/>
      <c r="W153" s="595"/>
      <c r="X153" s="595"/>
      <c r="Y153" s="595"/>
      <c r="Z153" s="595"/>
      <c r="AA153" s="595"/>
      <c r="AB153" s="595"/>
      <c r="AC153" s="595"/>
      <c r="AD153" s="595"/>
      <c r="AE153" s="595"/>
      <c r="AF153" s="595"/>
      <c r="AG153" s="595"/>
      <c r="AH153" s="595"/>
      <c r="AI153" s="595"/>
      <c r="AJ153" s="595"/>
      <c r="AK153" s="595"/>
      <c r="AL153" s="595"/>
      <c r="AM153" s="595"/>
    </row>
    <row r="154" spans="1:39" ht="114.95" hidden="1" x14ac:dyDescent="0.35">
      <c r="A154" s="586">
        <f t="shared" ref="A154:A184" si="6">SUM(A153+1)</f>
        <v>135</v>
      </c>
      <c r="B154" s="587" t="s">
        <v>171</v>
      </c>
      <c r="C154" s="588">
        <v>80101706</v>
      </c>
      <c r="D154" s="589" t="s">
        <v>534</v>
      </c>
      <c r="E154" s="587" t="s">
        <v>48</v>
      </c>
      <c r="F154" s="587">
        <v>1</v>
      </c>
      <c r="G154" s="590" t="s">
        <v>73</v>
      </c>
      <c r="H154" s="591">
        <v>5</v>
      </c>
      <c r="I154" s="587" t="s">
        <v>61</v>
      </c>
      <c r="J154" s="587" t="s">
        <v>66</v>
      </c>
      <c r="K154" s="587" t="s">
        <v>473</v>
      </c>
      <c r="L154" s="592">
        <v>17590000</v>
      </c>
      <c r="M154" s="593">
        <v>17590000</v>
      </c>
      <c r="N154" s="587" t="s">
        <v>51</v>
      </c>
      <c r="O154" s="587" t="s">
        <v>36</v>
      </c>
      <c r="P154" s="587" t="s">
        <v>533</v>
      </c>
      <c r="Q154" s="80"/>
      <c r="R154" s="610" t="s">
        <v>240</v>
      </c>
      <c r="S154" s="595"/>
      <c r="T154" s="595"/>
      <c r="U154" s="595"/>
      <c r="V154" s="595"/>
      <c r="W154" s="595"/>
      <c r="X154" s="595"/>
      <c r="Y154" s="595"/>
      <c r="Z154" s="595"/>
      <c r="AA154" s="595"/>
      <c r="AB154" s="595"/>
      <c r="AC154" s="595"/>
      <c r="AD154" s="595"/>
      <c r="AE154" s="595"/>
      <c r="AF154" s="595"/>
      <c r="AG154" s="595"/>
      <c r="AH154" s="595"/>
      <c r="AI154" s="595"/>
      <c r="AJ154" s="595"/>
      <c r="AK154" s="595"/>
      <c r="AL154" s="595"/>
      <c r="AM154" s="595"/>
    </row>
    <row r="155" spans="1:39" ht="114.95" hidden="1" x14ac:dyDescent="0.35">
      <c r="A155" s="586">
        <f t="shared" si="6"/>
        <v>136</v>
      </c>
      <c r="B155" s="587" t="s">
        <v>171</v>
      </c>
      <c r="C155" s="588">
        <v>80101706</v>
      </c>
      <c r="D155" s="589" t="s">
        <v>534</v>
      </c>
      <c r="E155" s="587" t="s">
        <v>48</v>
      </c>
      <c r="F155" s="587">
        <v>1</v>
      </c>
      <c r="G155" s="590" t="s">
        <v>73</v>
      </c>
      <c r="H155" s="591">
        <v>5</v>
      </c>
      <c r="I155" s="587" t="s">
        <v>61</v>
      </c>
      <c r="J155" s="587" t="s">
        <v>66</v>
      </c>
      <c r="K155" s="587" t="s">
        <v>473</v>
      </c>
      <c r="L155" s="592">
        <v>36750000</v>
      </c>
      <c r="M155" s="593">
        <v>36750000</v>
      </c>
      <c r="N155" s="587" t="s">
        <v>51</v>
      </c>
      <c r="O155" s="587" t="s">
        <v>36</v>
      </c>
      <c r="P155" s="587" t="s">
        <v>533</v>
      </c>
      <c r="Q155" s="80"/>
      <c r="R155" s="610" t="s">
        <v>282</v>
      </c>
      <c r="S155" s="595"/>
      <c r="T155" s="595"/>
      <c r="U155" s="595"/>
      <c r="V155" s="595"/>
      <c r="W155" s="595"/>
      <c r="X155" s="595"/>
      <c r="Y155" s="595"/>
      <c r="Z155" s="595"/>
      <c r="AA155" s="595"/>
      <c r="AB155" s="595"/>
      <c r="AC155" s="595"/>
      <c r="AD155" s="595"/>
      <c r="AE155" s="595"/>
      <c r="AF155" s="595"/>
      <c r="AG155" s="595"/>
      <c r="AH155" s="595"/>
      <c r="AI155" s="595"/>
      <c r="AJ155" s="595"/>
      <c r="AK155" s="595"/>
      <c r="AL155" s="595"/>
      <c r="AM155" s="595"/>
    </row>
    <row r="156" spans="1:39" ht="69" hidden="1" x14ac:dyDescent="0.35">
      <c r="A156" s="586">
        <f t="shared" si="6"/>
        <v>137</v>
      </c>
      <c r="B156" s="587" t="s">
        <v>538</v>
      </c>
      <c r="C156" s="588">
        <v>80101706</v>
      </c>
      <c r="D156" s="589" t="s">
        <v>539</v>
      </c>
      <c r="E156" s="587" t="s">
        <v>48</v>
      </c>
      <c r="F156" s="587">
        <v>1</v>
      </c>
      <c r="G156" s="590" t="s">
        <v>73</v>
      </c>
      <c r="H156" s="591">
        <v>5</v>
      </c>
      <c r="I156" s="587" t="s">
        <v>61</v>
      </c>
      <c r="J156" s="587" t="s">
        <v>66</v>
      </c>
      <c r="K156" s="587" t="s">
        <v>473</v>
      </c>
      <c r="L156" s="592">
        <v>23500000</v>
      </c>
      <c r="M156" s="593">
        <v>23500000</v>
      </c>
      <c r="N156" s="587" t="s">
        <v>51</v>
      </c>
      <c r="O156" s="587" t="s">
        <v>36</v>
      </c>
      <c r="P156" s="587" t="s">
        <v>540</v>
      </c>
      <c r="Q156" s="80"/>
      <c r="R156" s="610" t="s">
        <v>577</v>
      </c>
      <c r="S156" s="595"/>
      <c r="T156" s="595"/>
      <c r="U156" s="595"/>
      <c r="V156" s="595"/>
      <c r="W156" s="595"/>
      <c r="X156" s="595"/>
      <c r="Y156" s="595"/>
      <c r="Z156" s="595"/>
      <c r="AA156" s="595"/>
      <c r="AB156" s="595"/>
      <c r="AC156" s="595"/>
      <c r="AD156" s="595"/>
      <c r="AE156" s="595"/>
      <c r="AF156" s="595"/>
      <c r="AG156" s="595"/>
      <c r="AH156" s="595"/>
      <c r="AI156" s="595"/>
      <c r="AJ156" s="595"/>
      <c r="AK156" s="595"/>
      <c r="AL156" s="595"/>
      <c r="AM156" s="595"/>
    </row>
    <row r="157" spans="1:39" ht="69" hidden="1" x14ac:dyDescent="0.35">
      <c r="A157" s="586">
        <f t="shared" si="6"/>
        <v>138</v>
      </c>
      <c r="B157" s="587" t="s">
        <v>538</v>
      </c>
      <c r="C157" s="588">
        <v>80101706</v>
      </c>
      <c r="D157" s="589" t="s">
        <v>539</v>
      </c>
      <c r="E157" s="587" t="s">
        <v>48</v>
      </c>
      <c r="F157" s="587">
        <v>1</v>
      </c>
      <c r="G157" s="590" t="s">
        <v>73</v>
      </c>
      <c r="H157" s="591">
        <v>5</v>
      </c>
      <c r="I157" s="587" t="s">
        <v>61</v>
      </c>
      <c r="J157" s="587" t="s">
        <v>66</v>
      </c>
      <c r="K157" s="587" t="s">
        <v>473</v>
      </c>
      <c r="L157" s="592">
        <v>19000000</v>
      </c>
      <c r="M157" s="593">
        <v>19000000</v>
      </c>
      <c r="N157" s="587" t="s">
        <v>51</v>
      </c>
      <c r="O157" s="587" t="s">
        <v>36</v>
      </c>
      <c r="P157" s="587" t="s">
        <v>540</v>
      </c>
      <c r="Q157" s="80"/>
      <c r="R157" s="610" t="s">
        <v>578</v>
      </c>
      <c r="S157" s="595"/>
      <c r="T157" s="595"/>
      <c r="U157" s="595"/>
      <c r="V157" s="595"/>
      <c r="W157" s="595"/>
      <c r="X157" s="595"/>
      <c r="Y157" s="595"/>
      <c r="Z157" s="595"/>
      <c r="AA157" s="595"/>
      <c r="AB157" s="595"/>
      <c r="AC157" s="595"/>
      <c r="AD157" s="595"/>
      <c r="AE157" s="595"/>
      <c r="AF157" s="595"/>
      <c r="AG157" s="595"/>
      <c r="AH157" s="595"/>
      <c r="AI157" s="595"/>
      <c r="AJ157" s="595"/>
      <c r="AK157" s="595"/>
      <c r="AL157" s="595"/>
      <c r="AM157" s="595"/>
    </row>
    <row r="158" spans="1:39" ht="69" hidden="1" x14ac:dyDescent="0.35">
      <c r="A158" s="586">
        <f t="shared" si="6"/>
        <v>139</v>
      </c>
      <c r="B158" s="587" t="s">
        <v>538</v>
      </c>
      <c r="C158" s="588">
        <v>80101706</v>
      </c>
      <c r="D158" s="589" t="s">
        <v>539</v>
      </c>
      <c r="E158" s="587" t="s">
        <v>48</v>
      </c>
      <c r="F158" s="587">
        <v>1</v>
      </c>
      <c r="G158" s="590" t="s">
        <v>73</v>
      </c>
      <c r="H158" s="591">
        <v>5</v>
      </c>
      <c r="I158" s="587" t="s">
        <v>61</v>
      </c>
      <c r="J158" s="587" t="s">
        <v>66</v>
      </c>
      <c r="K158" s="587" t="s">
        <v>473</v>
      </c>
      <c r="L158" s="592">
        <v>21000000</v>
      </c>
      <c r="M158" s="593">
        <v>21000000</v>
      </c>
      <c r="N158" s="587" t="s">
        <v>51</v>
      </c>
      <c r="O158" s="587" t="s">
        <v>36</v>
      </c>
      <c r="P158" s="587" t="s">
        <v>540</v>
      </c>
      <c r="Q158" s="80"/>
      <c r="R158" s="610" t="s">
        <v>579</v>
      </c>
      <c r="S158" s="595"/>
      <c r="T158" s="595"/>
      <c r="U158" s="595"/>
      <c r="V158" s="595"/>
      <c r="W158" s="595"/>
      <c r="X158" s="595"/>
      <c r="Y158" s="595"/>
      <c r="Z158" s="595"/>
      <c r="AA158" s="595"/>
      <c r="AB158" s="595"/>
      <c r="AC158" s="595"/>
      <c r="AD158" s="595"/>
      <c r="AE158" s="595"/>
      <c r="AF158" s="595"/>
      <c r="AG158" s="595"/>
      <c r="AH158" s="595"/>
      <c r="AI158" s="595"/>
      <c r="AJ158" s="595"/>
      <c r="AK158" s="595"/>
      <c r="AL158" s="595"/>
      <c r="AM158" s="595"/>
    </row>
    <row r="159" spans="1:39" ht="114.95" hidden="1" x14ac:dyDescent="0.35">
      <c r="A159" s="586">
        <f t="shared" si="6"/>
        <v>140</v>
      </c>
      <c r="B159" s="587" t="s">
        <v>171</v>
      </c>
      <c r="C159" s="588">
        <v>81100000</v>
      </c>
      <c r="D159" s="589" t="s">
        <v>60</v>
      </c>
      <c r="E159" s="587" t="s">
        <v>48</v>
      </c>
      <c r="F159" s="587">
        <v>1</v>
      </c>
      <c r="G159" s="590" t="s">
        <v>180</v>
      </c>
      <c r="H159" s="591">
        <v>12</v>
      </c>
      <c r="I159" s="587" t="s">
        <v>55</v>
      </c>
      <c r="J159" s="587" t="s">
        <v>35</v>
      </c>
      <c r="K159" s="587" t="s">
        <v>38</v>
      </c>
      <c r="L159" s="592">
        <v>6000000</v>
      </c>
      <c r="M159" s="593">
        <v>6000000</v>
      </c>
      <c r="N159" s="587" t="s">
        <v>51</v>
      </c>
      <c r="O159" s="587" t="s">
        <v>36</v>
      </c>
      <c r="P159" s="587" t="s">
        <v>533</v>
      </c>
      <c r="Q159" s="80"/>
      <c r="R159" s="610"/>
      <c r="S159" s="595"/>
      <c r="T159" s="595"/>
      <c r="U159" s="595"/>
      <c r="V159" s="595"/>
      <c r="W159" s="595"/>
      <c r="X159" s="595"/>
      <c r="Y159" s="595"/>
      <c r="Z159" s="595"/>
      <c r="AA159" s="595"/>
      <c r="AB159" s="595"/>
      <c r="AC159" s="595"/>
      <c r="AD159" s="595"/>
      <c r="AE159" s="595"/>
      <c r="AF159" s="595"/>
      <c r="AG159" s="595"/>
      <c r="AH159" s="595"/>
      <c r="AI159" s="595"/>
      <c r="AJ159" s="595"/>
      <c r="AK159" s="595"/>
      <c r="AL159" s="595"/>
      <c r="AM159" s="595"/>
    </row>
    <row r="160" spans="1:39" ht="114.95" hidden="1" x14ac:dyDescent="0.35">
      <c r="A160" s="586">
        <f t="shared" si="6"/>
        <v>141</v>
      </c>
      <c r="B160" s="587" t="s">
        <v>171</v>
      </c>
      <c r="C160" s="588" t="s">
        <v>535</v>
      </c>
      <c r="D160" s="589" t="s">
        <v>536</v>
      </c>
      <c r="E160" s="587" t="s">
        <v>48</v>
      </c>
      <c r="F160" s="587">
        <v>1</v>
      </c>
      <c r="G160" s="590" t="s">
        <v>80</v>
      </c>
      <c r="H160" s="591">
        <v>12</v>
      </c>
      <c r="I160" s="587" t="s">
        <v>55</v>
      </c>
      <c r="J160" s="587" t="s">
        <v>35</v>
      </c>
      <c r="K160" s="587" t="s">
        <v>439</v>
      </c>
      <c r="L160" s="592">
        <v>21000000</v>
      </c>
      <c r="M160" s="593">
        <v>21000000</v>
      </c>
      <c r="N160" s="587" t="s">
        <v>51</v>
      </c>
      <c r="O160" s="587" t="s">
        <v>36</v>
      </c>
      <c r="P160" s="587" t="s">
        <v>533</v>
      </c>
      <c r="Q160" s="80"/>
      <c r="R160" s="610"/>
      <c r="S160" s="595"/>
      <c r="T160" s="595"/>
      <c r="U160" s="595"/>
      <c r="V160" s="595"/>
      <c r="W160" s="595"/>
      <c r="X160" s="595"/>
      <c r="Y160" s="595"/>
      <c r="Z160" s="595"/>
      <c r="AA160" s="595"/>
      <c r="AB160" s="595"/>
      <c r="AC160" s="595"/>
      <c r="AD160" s="595"/>
      <c r="AE160" s="595"/>
      <c r="AF160" s="595"/>
      <c r="AG160" s="595"/>
      <c r="AH160" s="595"/>
      <c r="AI160" s="595"/>
      <c r="AJ160" s="595"/>
      <c r="AK160" s="595"/>
      <c r="AL160" s="595"/>
      <c r="AM160" s="595"/>
    </row>
    <row r="161" spans="1:39" ht="69" hidden="1" x14ac:dyDescent="0.35">
      <c r="A161" s="586">
        <f t="shared" si="6"/>
        <v>142</v>
      </c>
      <c r="B161" s="587" t="s">
        <v>490</v>
      </c>
      <c r="C161" s="588">
        <v>80101706</v>
      </c>
      <c r="D161" s="589" t="s">
        <v>537</v>
      </c>
      <c r="E161" s="587" t="s">
        <v>48</v>
      </c>
      <c r="F161" s="587">
        <v>1</v>
      </c>
      <c r="G161" s="590" t="s">
        <v>73</v>
      </c>
      <c r="H161" s="591">
        <v>5</v>
      </c>
      <c r="I161" s="587" t="s">
        <v>61</v>
      </c>
      <c r="J161" s="587" t="s">
        <v>66</v>
      </c>
      <c r="K161" s="587" t="s">
        <v>583</v>
      </c>
      <c r="L161" s="592">
        <v>26500000</v>
      </c>
      <c r="M161" s="593">
        <v>26500000</v>
      </c>
      <c r="N161" s="587" t="s">
        <v>51</v>
      </c>
      <c r="O161" s="587" t="s">
        <v>36</v>
      </c>
      <c r="P161" s="587" t="s">
        <v>308</v>
      </c>
      <c r="Q161" s="80"/>
      <c r="R161" s="610" t="s">
        <v>259</v>
      </c>
      <c r="S161" s="595"/>
      <c r="T161" s="595"/>
      <c r="U161" s="595"/>
      <c r="V161" s="595"/>
      <c r="W161" s="595"/>
      <c r="X161" s="595"/>
      <c r="Y161" s="595"/>
      <c r="Z161" s="595"/>
      <c r="AA161" s="595"/>
      <c r="AB161" s="595"/>
      <c r="AC161" s="595"/>
      <c r="AD161" s="595"/>
      <c r="AE161" s="595"/>
      <c r="AF161" s="595"/>
      <c r="AG161" s="595"/>
      <c r="AH161" s="595"/>
      <c r="AI161" s="595"/>
      <c r="AJ161" s="595"/>
      <c r="AK161" s="595"/>
      <c r="AL161" s="595"/>
      <c r="AM161" s="595"/>
    </row>
    <row r="162" spans="1:39" ht="69" hidden="1" x14ac:dyDescent="0.35">
      <c r="A162" s="586">
        <f t="shared" si="6"/>
        <v>143</v>
      </c>
      <c r="B162" s="587" t="s">
        <v>490</v>
      </c>
      <c r="C162" s="588">
        <v>80101706</v>
      </c>
      <c r="D162" s="589" t="s">
        <v>537</v>
      </c>
      <c r="E162" s="587" t="s">
        <v>48</v>
      </c>
      <c r="F162" s="587">
        <v>1</v>
      </c>
      <c r="G162" s="590" t="s">
        <v>73</v>
      </c>
      <c r="H162" s="591">
        <v>5</v>
      </c>
      <c r="I162" s="587" t="s">
        <v>61</v>
      </c>
      <c r="J162" s="587" t="s">
        <v>66</v>
      </c>
      <c r="K162" s="587" t="s">
        <v>583</v>
      </c>
      <c r="L162" s="592">
        <v>32550000</v>
      </c>
      <c r="M162" s="593">
        <v>32550000</v>
      </c>
      <c r="N162" s="587" t="s">
        <v>51</v>
      </c>
      <c r="O162" s="587" t="s">
        <v>36</v>
      </c>
      <c r="P162" s="587" t="s">
        <v>308</v>
      </c>
      <c r="Q162" s="80"/>
      <c r="R162" s="610" t="s">
        <v>262</v>
      </c>
      <c r="S162" s="595"/>
      <c r="T162" s="595"/>
      <c r="U162" s="595"/>
      <c r="V162" s="595"/>
      <c r="W162" s="595"/>
      <c r="X162" s="595"/>
      <c r="Y162" s="595"/>
      <c r="Z162" s="595"/>
      <c r="AA162" s="595"/>
      <c r="AB162" s="595"/>
      <c r="AC162" s="595"/>
      <c r="AD162" s="595"/>
      <c r="AE162" s="595"/>
      <c r="AF162" s="595"/>
      <c r="AG162" s="595"/>
      <c r="AH162" s="595"/>
      <c r="AI162" s="595"/>
      <c r="AJ162" s="595"/>
      <c r="AK162" s="595"/>
      <c r="AL162" s="595"/>
      <c r="AM162" s="595"/>
    </row>
    <row r="163" spans="1:39" ht="69" hidden="1" x14ac:dyDescent="0.35">
      <c r="A163" s="586">
        <f t="shared" si="6"/>
        <v>144</v>
      </c>
      <c r="B163" s="587" t="s">
        <v>490</v>
      </c>
      <c r="C163" s="588">
        <v>80101706</v>
      </c>
      <c r="D163" s="589" t="s">
        <v>537</v>
      </c>
      <c r="E163" s="587" t="s">
        <v>48</v>
      </c>
      <c r="F163" s="587">
        <v>1</v>
      </c>
      <c r="G163" s="590" t="s">
        <v>73</v>
      </c>
      <c r="H163" s="591">
        <v>5</v>
      </c>
      <c r="I163" s="587" t="s">
        <v>61</v>
      </c>
      <c r="J163" s="587" t="s">
        <v>66</v>
      </c>
      <c r="K163" s="587" t="s">
        <v>583</v>
      </c>
      <c r="L163" s="592">
        <v>32550000</v>
      </c>
      <c r="M163" s="593">
        <v>32550000</v>
      </c>
      <c r="N163" s="587" t="s">
        <v>51</v>
      </c>
      <c r="O163" s="587" t="s">
        <v>36</v>
      </c>
      <c r="P163" s="587" t="s">
        <v>308</v>
      </c>
      <c r="Q163" s="80"/>
      <c r="R163" s="610" t="s">
        <v>572</v>
      </c>
      <c r="S163" s="595"/>
      <c r="T163" s="595"/>
      <c r="U163" s="595"/>
      <c r="V163" s="595"/>
      <c r="W163" s="595"/>
      <c r="X163" s="595"/>
      <c r="Y163" s="595"/>
      <c r="Z163" s="595"/>
      <c r="AA163" s="595"/>
      <c r="AB163" s="595"/>
      <c r="AC163" s="595"/>
      <c r="AD163" s="595"/>
      <c r="AE163" s="595"/>
      <c r="AF163" s="595"/>
      <c r="AG163" s="595"/>
      <c r="AH163" s="595"/>
      <c r="AI163" s="595"/>
      <c r="AJ163" s="595"/>
      <c r="AK163" s="595"/>
      <c r="AL163" s="595"/>
      <c r="AM163" s="595"/>
    </row>
    <row r="164" spans="1:39" ht="69" hidden="1" x14ac:dyDescent="0.35">
      <c r="A164" s="586">
        <f t="shared" si="6"/>
        <v>145</v>
      </c>
      <c r="B164" s="587" t="s">
        <v>490</v>
      </c>
      <c r="C164" s="588">
        <v>80101706</v>
      </c>
      <c r="D164" s="589" t="s">
        <v>537</v>
      </c>
      <c r="E164" s="587" t="s">
        <v>48</v>
      </c>
      <c r="F164" s="587">
        <v>1</v>
      </c>
      <c r="G164" s="590" t="s">
        <v>73</v>
      </c>
      <c r="H164" s="591">
        <v>5</v>
      </c>
      <c r="I164" s="587" t="s">
        <v>61</v>
      </c>
      <c r="J164" s="587" t="s">
        <v>66</v>
      </c>
      <c r="K164" s="587" t="s">
        <v>583</v>
      </c>
      <c r="L164" s="592">
        <v>21200000</v>
      </c>
      <c r="M164" s="593">
        <v>21200000</v>
      </c>
      <c r="N164" s="587" t="s">
        <v>51</v>
      </c>
      <c r="O164" s="587" t="s">
        <v>36</v>
      </c>
      <c r="P164" s="587" t="s">
        <v>308</v>
      </c>
      <c r="Q164" s="80"/>
      <c r="R164" s="610" t="s">
        <v>573</v>
      </c>
      <c r="S164" s="595"/>
      <c r="T164" s="595"/>
      <c r="U164" s="595"/>
      <c r="V164" s="595"/>
      <c r="W164" s="595"/>
      <c r="X164" s="595"/>
      <c r="Y164" s="595"/>
      <c r="Z164" s="595"/>
      <c r="AA164" s="595"/>
      <c r="AB164" s="595"/>
      <c r="AC164" s="595"/>
      <c r="AD164" s="595"/>
      <c r="AE164" s="595"/>
      <c r="AF164" s="595"/>
      <c r="AG164" s="595"/>
      <c r="AH164" s="595"/>
      <c r="AI164" s="595"/>
      <c r="AJ164" s="595"/>
      <c r="AK164" s="595"/>
      <c r="AL164" s="595"/>
      <c r="AM164" s="595"/>
    </row>
    <row r="165" spans="1:39" ht="69" hidden="1" x14ac:dyDescent="0.35">
      <c r="A165" s="586">
        <f t="shared" si="6"/>
        <v>146</v>
      </c>
      <c r="B165" s="587" t="s">
        <v>490</v>
      </c>
      <c r="C165" s="588">
        <v>80101706</v>
      </c>
      <c r="D165" s="589" t="s">
        <v>537</v>
      </c>
      <c r="E165" s="587" t="s">
        <v>48</v>
      </c>
      <c r="F165" s="587">
        <v>1</v>
      </c>
      <c r="G165" s="590" t="s">
        <v>73</v>
      </c>
      <c r="H165" s="591">
        <v>5</v>
      </c>
      <c r="I165" s="587" t="s">
        <v>61</v>
      </c>
      <c r="J165" s="587" t="s">
        <v>66</v>
      </c>
      <c r="K165" s="587" t="s">
        <v>583</v>
      </c>
      <c r="L165" s="592">
        <v>21200000</v>
      </c>
      <c r="M165" s="593">
        <v>21200000</v>
      </c>
      <c r="N165" s="587" t="s">
        <v>51</v>
      </c>
      <c r="O165" s="587" t="s">
        <v>36</v>
      </c>
      <c r="P165" s="587" t="s">
        <v>308</v>
      </c>
      <c r="Q165" s="80"/>
      <c r="R165" s="610" t="s">
        <v>236</v>
      </c>
      <c r="S165" s="595"/>
      <c r="T165" s="595"/>
      <c r="U165" s="595"/>
      <c r="V165" s="595"/>
      <c r="W165" s="595"/>
      <c r="X165" s="595"/>
      <c r="Y165" s="595"/>
      <c r="Z165" s="595"/>
      <c r="AA165" s="595"/>
      <c r="AB165" s="595"/>
      <c r="AC165" s="595"/>
      <c r="AD165" s="595"/>
      <c r="AE165" s="595"/>
      <c r="AF165" s="595"/>
      <c r="AG165" s="595"/>
      <c r="AH165" s="595"/>
      <c r="AI165" s="595"/>
      <c r="AJ165" s="595"/>
      <c r="AK165" s="595"/>
      <c r="AL165" s="595"/>
      <c r="AM165" s="595"/>
    </row>
    <row r="166" spans="1:39" ht="69" hidden="1" x14ac:dyDescent="0.35">
      <c r="A166" s="586">
        <f t="shared" si="6"/>
        <v>147</v>
      </c>
      <c r="B166" s="587" t="s">
        <v>490</v>
      </c>
      <c r="C166" s="588">
        <v>80101706</v>
      </c>
      <c r="D166" s="589" t="s">
        <v>537</v>
      </c>
      <c r="E166" s="587" t="s">
        <v>48</v>
      </c>
      <c r="F166" s="587">
        <v>1</v>
      </c>
      <c r="G166" s="590" t="s">
        <v>73</v>
      </c>
      <c r="H166" s="591">
        <v>5</v>
      </c>
      <c r="I166" s="587" t="s">
        <v>61</v>
      </c>
      <c r="J166" s="587" t="s">
        <v>66</v>
      </c>
      <c r="K166" s="587" t="s">
        <v>583</v>
      </c>
      <c r="L166" s="592">
        <v>35000000</v>
      </c>
      <c r="M166" s="593">
        <v>35000000</v>
      </c>
      <c r="N166" s="587" t="s">
        <v>51</v>
      </c>
      <c r="O166" s="587" t="s">
        <v>36</v>
      </c>
      <c r="P166" s="587" t="s">
        <v>308</v>
      </c>
      <c r="Q166" s="80"/>
      <c r="R166" s="610" t="s">
        <v>574</v>
      </c>
      <c r="S166" s="595"/>
      <c r="T166" s="595"/>
      <c r="U166" s="595"/>
      <c r="V166" s="595"/>
      <c r="W166" s="595"/>
      <c r="X166" s="595"/>
      <c r="Y166" s="595"/>
      <c r="Z166" s="595"/>
      <c r="AA166" s="595"/>
      <c r="AB166" s="595"/>
      <c r="AC166" s="595"/>
      <c r="AD166" s="595"/>
      <c r="AE166" s="595"/>
      <c r="AF166" s="595"/>
      <c r="AG166" s="595"/>
      <c r="AH166" s="595"/>
      <c r="AI166" s="595"/>
      <c r="AJ166" s="595"/>
      <c r="AK166" s="595"/>
      <c r="AL166" s="595"/>
      <c r="AM166" s="595"/>
    </row>
    <row r="167" spans="1:39" ht="69" hidden="1" x14ac:dyDescent="0.35">
      <c r="A167" s="586">
        <f t="shared" si="6"/>
        <v>148</v>
      </c>
      <c r="B167" s="587" t="s">
        <v>490</v>
      </c>
      <c r="C167" s="588">
        <v>80101706</v>
      </c>
      <c r="D167" s="589" t="s">
        <v>537</v>
      </c>
      <c r="E167" s="587" t="s">
        <v>48</v>
      </c>
      <c r="F167" s="587">
        <v>1</v>
      </c>
      <c r="G167" s="590" t="s">
        <v>73</v>
      </c>
      <c r="H167" s="591">
        <v>5</v>
      </c>
      <c r="I167" s="587" t="s">
        <v>61</v>
      </c>
      <c r="J167" s="587" t="s">
        <v>66</v>
      </c>
      <c r="K167" s="587" t="s">
        <v>583</v>
      </c>
      <c r="L167" s="592">
        <v>32550000</v>
      </c>
      <c r="M167" s="593">
        <v>32550000</v>
      </c>
      <c r="N167" s="587" t="s">
        <v>51</v>
      </c>
      <c r="O167" s="587" t="s">
        <v>36</v>
      </c>
      <c r="P167" s="587" t="s">
        <v>308</v>
      </c>
      <c r="Q167" s="80"/>
      <c r="R167" s="610" t="s">
        <v>243</v>
      </c>
      <c r="S167" s="595"/>
      <c r="T167" s="595"/>
      <c r="U167" s="595"/>
      <c r="V167" s="595"/>
      <c r="W167" s="595"/>
      <c r="X167" s="595"/>
      <c r="Y167" s="595"/>
      <c r="Z167" s="595"/>
      <c r="AA167" s="595"/>
      <c r="AB167" s="595"/>
      <c r="AC167" s="595"/>
      <c r="AD167" s="595"/>
      <c r="AE167" s="595"/>
      <c r="AF167" s="595"/>
      <c r="AG167" s="595"/>
      <c r="AH167" s="595"/>
      <c r="AI167" s="595"/>
      <c r="AJ167" s="595"/>
      <c r="AK167" s="595"/>
      <c r="AL167" s="595"/>
      <c r="AM167" s="595"/>
    </row>
    <row r="168" spans="1:39" ht="69" hidden="1" x14ac:dyDescent="0.35">
      <c r="A168" s="586">
        <f t="shared" si="6"/>
        <v>149</v>
      </c>
      <c r="B168" s="587" t="s">
        <v>490</v>
      </c>
      <c r="C168" s="588">
        <v>80101706</v>
      </c>
      <c r="D168" s="589" t="s">
        <v>537</v>
      </c>
      <c r="E168" s="587" t="s">
        <v>48</v>
      </c>
      <c r="F168" s="587">
        <v>1</v>
      </c>
      <c r="G168" s="590" t="s">
        <v>73</v>
      </c>
      <c r="H168" s="591">
        <v>5</v>
      </c>
      <c r="I168" s="587" t="s">
        <v>61</v>
      </c>
      <c r="J168" s="587" t="s">
        <v>66</v>
      </c>
      <c r="K168" s="587" t="s">
        <v>583</v>
      </c>
      <c r="L168" s="592">
        <v>32550000</v>
      </c>
      <c r="M168" s="593">
        <v>32550000</v>
      </c>
      <c r="N168" s="587" t="s">
        <v>51</v>
      </c>
      <c r="O168" s="587" t="s">
        <v>36</v>
      </c>
      <c r="P168" s="587" t="s">
        <v>308</v>
      </c>
      <c r="Q168" s="80"/>
      <c r="R168" s="610" t="s">
        <v>575</v>
      </c>
      <c r="S168" s="595"/>
      <c r="T168" s="595"/>
      <c r="U168" s="595"/>
      <c r="V168" s="595"/>
      <c r="W168" s="595"/>
      <c r="X168" s="595"/>
      <c r="Y168" s="595"/>
      <c r="Z168" s="595"/>
      <c r="AA168" s="595"/>
      <c r="AB168" s="595"/>
      <c r="AC168" s="595"/>
      <c r="AD168" s="595"/>
      <c r="AE168" s="595"/>
      <c r="AF168" s="595"/>
      <c r="AG168" s="595"/>
      <c r="AH168" s="595"/>
      <c r="AI168" s="595"/>
      <c r="AJ168" s="595"/>
      <c r="AK168" s="595"/>
      <c r="AL168" s="595"/>
      <c r="AM168" s="595"/>
    </row>
    <row r="169" spans="1:39" ht="69" hidden="1" x14ac:dyDescent="0.35">
      <c r="A169" s="586">
        <f t="shared" si="6"/>
        <v>150</v>
      </c>
      <c r="B169" s="587" t="s">
        <v>490</v>
      </c>
      <c r="C169" s="588">
        <v>80101706</v>
      </c>
      <c r="D169" s="589" t="s">
        <v>537</v>
      </c>
      <c r="E169" s="587" t="s">
        <v>48</v>
      </c>
      <c r="F169" s="587">
        <v>1</v>
      </c>
      <c r="G169" s="590" t="s">
        <v>73</v>
      </c>
      <c r="H169" s="591">
        <v>5</v>
      </c>
      <c r="I169" s="587" t="s">
        <v>61</v>
      </c>
      <c r="J169" s="587" t="s">
        <v>66</v>
      </c>
      <c r="K169" s="587" t="s">
        <v>583</v>
      </c>
      <c r="L169" s="592">
        <v>32550000</v>
      </c>
      <c r="M169" s="593">
        <v>32550000</v>
      </c>
      <c r="N169" s="587" t="s">
        <v>51</v>
      </c>
      <c r="O169" s="587" t="s">
        <v>36</v>
      </c>
      <c r="P169" s="587" t="s">
        <v>308</v>
      </c>
      <c r="Q169" s="80"/>
      <c r="R169" s="610" t="s">
        <v>576</v>
      </c>
      <c r="S169" s="595"/>
      <c r="T169" s="595"/>
      <c r="U169" s="595"/>
      <c r="V169" s="595"/>
      <c r="W169" s="595"/>
      <c r="X169" s="595"/>
      <c r="Y169" s="595"/>
      <c r="Z169" s="595"/>
      <c r="AA169" s="595"/>
      <c r="AB169" s="595"/>
      <c r="AC169" s="595"/>
      <c r="AD169" s="595"/>
      <c r="AE169" s="595"/>
      <c r="AF169" s="595"/>
      <c r="AG169" s="595"/>
      <c r="AH169" s="595"/>
      <c r="AI169" s="595"/>
      <c r="AJ169" s="595"/>
      <c r="AK169" s="595"/>
      <c r="AL169" s="595"/>
      <c r="AM169" s="595"/>
    </row>
    <row r="170" spans="1:39" ht="92.1" hidden="1" x14ac:dyDescent="0.35">
      <c r="A170" s="586">
        <f t="shared" si="6"/>
        <v>151</v>
      </c>
      <c r="B170" s="587" t="s">
        <v>235</v>
      </c>
      <c r="C170" s="588">
        <v>80101706</v>
      </c>
      <c r="D170" s="589" t="s">
        <v>541</v>
      </c>
      <c r="E170" s="587" t="s">
        <v>48</v>
      </c>
      <c r="F170" s="587">
        <v>1</v>
      </c>
      <c r="G170" s="590" t="s">
        <v>73</v>
      </c>
      <c r="H170" s="591">
        <v>5</v>
      </c>
      <c r="I170" s="587" t="s">
        <v>61</v>
      </c>
      <c r="J170" s="587" t="s">
        <v>66</v>
      </c>
      <c r="K170" s="587" t="s">
        <v>473</v>
      </c>
      <c r="L170" s="592">
        <v>18020000</v>
      </c>
      <c r="M170" s="593">
        <v>18020000</v>
      </c>
      <c r="N170" s="587" t="s">
        <v>51</v>
      </c>
      <c r="O170" s="587" t="s">
        <v>36</v>
      </c>
      <c r="P170" s="587" t="s">
        <v>499</v>
      </c>
      <c r="Q170" s="80"/>
      <c r="R170" s="610" t="s">
        <v>307</v>
      </c>
      <c r="S170" s="595"/>
      <c r="T170" s="595"/>
      <c r="U170" s="595"/>
      <c r="V170" s="595"/>
      <c r="W170" s="595"/>
      <c r="X170" s="595"/>
      <c r="Y170" s="595"/>
      <c r="Z170" s="595"/>
      <c r="AA170" s="595"/>
      <c r="AB170" s="595"/>
      <c r="AC170" s="595"/>
      <c r="AD170" s="595"/>
      <c r="AE170" s="595"/>
      <c r="AF170" s="595"/>
      <c r="AG170" s="595"/>
      <c r="AH170" s="595"/>
      <c r="AI170" s="595"/>
      <c r="AJ170" s="595"/>
      <c r="AK170" s="595"/>
      <c r="AL170" s="595"/>
      <c r="AM170" s="595"/>
    </row>
    <row r="171" spans="1:39" ht="92.1" hidden="1" x14ac:dyDescent="0.35">
      <c r="A171" s="586">
        <f t="shared" si="6"/>
        <v>152</v>
      </c>
      <c r="B171" s="587" t="s">
        <v>235</v>
      </c>
      <c r="C171" s="588">
        <v>80101706</v>
      </c>
      <c r="D171" s="589" t="s">
        <v>541</v>
      </c>
      <c r="E171" s="587" t="s">
        <v>48</v>
      </c>
      <c r="F171" s="587">
        <v>1</v>
      </c>
      <c r="G171" s="590" t="s">
        <v>73</v>
      </c>
      <c r="H171" s="591">
        <v>5</v>
      </c>
      <c r="I171" s="587" t="s">
        <v>61</v>
      </c>
      <c r="J171" s="587" t="s">
        <v>66</v>
      </c>
      <c r="K171" s="587" t="s">
        <v>473</v>
      </c>
      <c r="L171" s="592">
        <v>27560000</v>
      </c>
      <c r="M171" s="593">
        <v>27560000</v>
      </c>
      <c r="N171" s="587" t="s">
        <v>51</v>
      </c>
      <c r="O171" s="587" t="s">
        <v>36</v>
      </c>
      <c r="P171" s="587" t="s">
        <v>499</v>
      </c>
      <c r="Q171" s="80"/>
      <c r="R171" s="610" t="s">
        <v>580</v>
      </c>
      <c r="S171" s="595"/>
      <c r="T171" s="595"/>
      <c r="U171" s="595"/>
      <c r="V171" s="595"/>
      <c r="W171" s="595"/>
      <c r="X171" s="595"/>
      <c r="Y171" s="595"/>
      <c r="Z171" s="595"/>
      <c r="AA171" s="595"/>
      <c r="AB171" s="595"/>
      <c r="AC171" s="595"/>
      <c r="AD171" s="595"/>
      <c r="AE171" s="595"/>
      <c r="AF171" s="595"/>
      <c r="AG171" s="595"/>
      <c r="AH171" s="595"/>
      <c r="AI171" s="595"/>
      <c r="AJ171" s="595"/>
      <c r="AK171" s="595"/>
      <c r="AL171" s="595"/>
      <c r="AM171" s="595"/>
    </row>
    <row r="172" spans="1:39" ht="92.1" hidden="1" x14ac:dyDescent="0.35">
      <c r="A172" s="586">
        <f t="shared" si="6"/>
        <v>153</v>
      </c>
      <c r="B172" s="587" t="s">
        <v>235</v>
      </c>
      <c r="C172" s="588">
        <v>80101706</v>
      </c>
      <c r="D172" s="589" t="s">
        <v>541</v>
      </c>
      <c r="E172" s="587" t="s">
        <v>48</v>
      </c>
      <c r="F172" s="587">
        <v>1</v>
      </c>
      <c r="G172" s="590" t="s">
        <v>73</v>
      </c>
      <c r="H172" s="591">
        <v>5</v>
      </c>
      <c r="I172" s="587" t="s">
        <v>61</v>
      </c>
      <c r="J172" s="587" t="s">
        <v>66</v>
      </c>
      <c r="K172" s="587" t="s">
        <v>473</v>
      </c>
      <c r="L172" s="592">
        <v>25040000</v>
      </c>
      <c r="M172" s="593">
        <v>25040000</v>
      </c>
      <c r="N172" s="587" t="s">
        <v>51</v>
      </c>
      <c r="O172" s="587" t="s">
        <v>36</v>
      </c>
      <c r="P172" s="587" t="s">
        <v>499</v>
      </c>
      <c r="Q172" s="80"/>
      <c r="R172" s="610" t="s">
        <v>245</v>
      </c>
      <c r="S172" s="595"/>
      <c r="T172" s="595"/>
      <c r="U172" s="595"/>
      <c r="V172" s="595"/>
      <c r="W172" s="595"/>
      <c r="X172" s="595"/>
      <c r="Y172" s="595"/>
      <c r="Z172" s="595"/>
      <c r="AA172" s="595"/>
      <c r="AB172" s="595"/>
      <c r="AC172" s="595"/>
      <c r="AD172" s="595"/>
      <c r="AE172" s="595"/>
      <c r="AF172" s="595"/>
      <c r="AG172" s="595"/>
      <c r="AH172" s="595"/>
      <c r="AI172" s="595"/>
      <c r="AJ172" s="595"/>
      <c r="AK172" s="595"/>
      <c r="AL172" s="595"/>
      <c r="AM172" s="595"/>
    </row>
    <row r="173" spans="1:39" ht="92.1" hidden="1" x14ac:dyDescent="0.35">
      <c r="A173" s="586">
        <f t="shared" si="6"/>
        <v>154</v>
      </c>
      <c r="B173" s="587" t="s">
        <v>235</v>
      </c>
      <c r="C173" s="588">
        <v>80101706</v>
      </c>
      <c r="D173" s="589" t="s">
        <v>541</v>
      </c>
      <c r="E173" s="587" t="s">
        <v>48</v>
      </c>
      <c r="F173" s="587">
        <v>1</v>
      </c>
      <c r="G173" s="590" t="s">
        <v>73</v>
      </c>
      <c r="H173" s="591">
        <v>5</v>
      </c>
      <c r="I173" s="587" t="s">
        <v>61</v>
      </c>
      <c r="J173" s="587" t="s">
        <v>66</v>
      </c>
      <c r="K173" s="587" t="s">
        <v>473</v>
      </c>
      <c r="L173" s="592">
        <v>25040000</v>
      </c>
      <c r="M173" s="593">
        <v>25040000</v>
      </c>
      <c r="N173" s="587" t="s">
        <v>51</v>
      </c>
      <c r="O173" s="587" t="s">
        <v>36</v>
      </c>
      <c r="P173" s="587" t="s">
        <v>499</v>
      </c>
      <c r="Q173" s="80"/>
      <c r="R173" s="610" t="s">
        <v>249</v>
      </c>
      <c r="S173" s="595"/>
      <c r="T173" s="595"/>
      <c r="U173" s="595"/>
      <c r="V173" s="595"/>
      <c r="W173" s="595"/>
      <c r="X173" s="595"/>
      <c r="Y173" s="595"/>
      <c r="Z173" s="595"/>
      <c r="AA173" s="595"/>
      <c r="AB173" s="595"/>
      <c r="AC173" s="595"/>
      <c r="AD173" s="595"/>
      <c r="AE173" s="595"/>
      <c r="AF173" s="595"/>
      <c r="AG173" s="595"/>
      <c r="AH173" s="595"/>
      <c r="AI173" s="595"/>
      <c r="AJ173" s="595"/>
      <c r="AK173" s="595"/>
      <c r="AL173" s="595"/>
      <c r="AM173" s="595"/>
    </row>
    <row r="174" spans="1:39" ht="92.1" hidden="1" x14ac:dyDescent="0.35">
      <c r="A174" s="586">
        <f t="shared" si="6"/>
        <v>155</v>
      </c>
      <c r="B174" s="587" t="s">
        <v>235</v>
      </c>
      <c r="C174" s="588">
        <v>80101706</v>
      </c>
      <c r="D174" s="589" t="s">
        <v>541</v>
      </c>
      <c r="E174" s="587" t="s">
        <v>48</v>
      </c>
      <c r="F174" s="587">
        <v>1</v>
      </c>
      <c r="G174" s="590" t="s">
        <v>73</v>
      </c>
      <c r="H174" s="591">
        <v>5</v>
      </c>
      <c r="I174" s="587" t="s">
        <v>61</v>
      </c>
      <c r="J174" s="587" t="s">
        <v>66</v>
      </c>
      <c r="K174" s="587" t="s">
        <v>473</v>
      </c>
      <c r="L174" s="592">
        <v>38765000</v>
      </c>
      <c r="M174" s="593">
        <v>38765000</v>
      </c>
      <c r="N174" s="587" t="s">
        <v>51</v>
      </c>
      <c r="O174" s="587" t="s">
        <v>36</v>
      </c>
      <c r="P174" s="587" t="s">
        <v>499</v>
      </c>
      <c r="Q174" s="80"/>
      <c r="R174" s="610" t="s">
        <v>257</v>
      </c>
      <c r="S174" s="595"/>
      <c r="T174" s="595"/>
      <c r="U174" s="595"/>
      <c r="V174" s="595"/>
      <c r="W174" s="595"/>
      <c r="X174" s="595"/>
      <c r="Y174" s="595"/>
      <c r="Z174" s="595"/>
      <c r="AA174" s="595"/>
      <c r="AB174" s="595"/>
      <c r="AC174" s="595"/>
      <c r="AD174" s="595"/>
      <c r="AE174" s="595"/>
      <c r="AF174" s="595"/>
      <c r="AG174" s="595"/>
      <c r="AH174" s="595"/>
      <c r="AI174" s="595"/>
      <c r="AJ174" s="595"/>
      <c r="AK174" s="595"/>
      <c r="AL174" s="595"/>
      <c r="AM174" s="595"/>
    </row>
    <row r="175" spans="1:39" ht="92.1" hidden="1" x14ac:dyDescent="0.35">
      <c r="A175" s="586">
        <f t="shared" si="6"/>
        <v>156</v>
      </c>
      <c r="B175" s="587" t="s">
        <v>472</v>
      </c>
      <c r="C175" s="588">
        <v>80101706</v>
      </c>
      <c r="D175" s="612" t="s">
        <v>278</v>
      </c>
      <c r="E175" s="587" t="s">
        <v>48</v>
      </c>
      <c r="F175" s="587">
        <v>1</v>
      </c>
      <c r="G175" s="590" t="s">
        <v>80</v>
      </c>
      <c r="H175" s="591" t="s">
        <v>256</v>
      </c>
      <c r="I175" s="587" t="s">
        <v>226</v>
      </c>
      <c r="J175" s="587" t="s">
        <v>66</v>
      </c>
      <c r="K175" s="587" t="s">
        <v>473</v>
      </c>
      <c r="L175" s="592">
        <v>300000000</v>
      </c>
      <c r="M175" s="593">
        <v>300000000</v>
      </c>
      <c r="N175" s="587" t="s">
        <v>51</v>
      </c>
      <c r="O175" s="587" t="s">
        <v>36</v>
      </c>
      <c r="P175" s="587" t="s">
        <v>320</v>
      </c>
      <c r="Q175" s="80"/>
      <c r="R175" s="608"/>
      <c r="S175" s="595"/>
      <c r="T175" s="595"/>
      <c r="U175" s="595"/>
      <c r="V175" s="595"/>
      <c r="W175" s="595"/>
      <c r="X175" s="595"/>
      <c r="Y175" s="595"/>
      <c r="Z175" s="595"/>
      <c r="AA175" s="595"/>
      <c r="AB175" s="595"/>
      <c r="AC175" s="595"/>
      <c r="AD175" s="595"/>
      <c r="AE175" s="595"/>
      <c r="AF175" s="595"/>
      <c r="AG175" s="595"/>
      <c r="AH175" s="595"/>
      <c r="AI175" s="595"/>
      <c r="AJ175" s="595"/>
      <c r="AK175" s="595"/>
      <c r="AL175" s="595"/>
      <c r="AM175" s="595"/>
    </row>
    <row r="176" spans="1:39" ht="69" hidden="1" x14ac:dyDescent="0.35">
      <c r="A176" s="586">
        <f t="shared" si="6"/>
        <v>157</v>
      </c>
      <c r="B176" s="587" t="s">
        <v>490</v>
      </c>
      <c r="C176" s="588">
        <v>81112501</v>
      </c>
      <c r="D176" s="612" t="s">
        <v>492</v>
      </c>
      <c r="E176" s="587" t="s">
        <v>68</v>
      </c>
      <c r="F176" s="587">
        <v>1</v>
      </c>
      <c r="G176" s="590" t="s">
        <v>78</v>
      </c>
      <c r="H176" s="591" t="s">
        <v>294</v>
      </c>
      <c r="I176" s="587" t="s">
        <v>61</v>
      </c>
      <c r="J176" s="587" t="s">
        <v>66</v>
      </c>
      <c r="K176" s="587" t="s">
        <v>473</v>
      </c>
      <c r="L176" s="592">
        <v>250000000</v>
      </c>
      <c r="M176" s="593">
        <v>250000000</v>
      </c>
      <c r="N176" s="587" t="s">
        <v>51</v>
      </c>
      <c r="O176" s="587" t="s">
        <v>36</v>
      </c>
      <c r="P176" s="587" t="s">
        <v>308</v>
      </c>
      <c r="Q176" s="80"/>
      <c r="R176" s="608"/>
      <c r="S176" s="595"/>
      <c r="T176" s="595"/>
      <c r="U176" s="595"/>
      <c r="V176" s="595"/>
      <c r="W176" s="595"/>
      <c r="X176" s="595"/>
      <c r="Y176" s="595"/>
      <c r="Z176" s="595"/>
      <c r="AA176" s="595"/>
      <c r="AB176" s="595"/>
      <c r="AC176" s="595"/>
      <c r="AD176" s="595"/>
      <c r="AE176" s="595"/>
      <c r="AF176" s="595"/>
      <c r="AG176" s="595"/>
      <c r="AH176" s="595"/>
      <c r="AI176" s="595"/>
      <c r="AJ176" s="595"/>
      <c r="AK176" s="595"/>
      <c r="AL176" s="595"/>
      <c r="AM176" s="595"/>
    </row>
    <row r="177" spans="1:39" ht="116.25" x14ac:dyDescent="0.25">
      <c r="A177" s="586">
        <f t="shared" si="6"/>
        <v>158</v>
      </c>
      <c r="B177" s="587" t="s">
        <v>235</v>
      </c>
      <c r="C177" s="588">
        <v>80101706</v>
      </c>
      <c r="D177" s="589" t="s">
        <v>541</v>
      </c>
      <c r="E177" s="587" t="s">
        <v>48</v>
      </c>
      <c r="F177" s="587">
        <v>1</v>
      </c>
      <c r="G177" s="590" t="s">
        <v>73</v>
      </c>
      <c r="H177" s="591">
        <v>5</v>
      </c>
      <c r="I177" s="587" t="s">
        <v>61</v>
      </c>
      <c r="J177" s="587" t="s">
        <v>66</v>
      </c>
      <c r="K177" s="587" t="s">
        <v>493</v>
      </c>
      <c r="L177" s="592">
        <v>28500000</v>
      </c>
      <c r="M177" s="593">
        <v>28500000</v>
      </c>
      <c r="N177" s="587" t="s">
        <v>51</v>
      </c>
      <c r="O177" s="587" t="s">
        <v>36</v>
      </c>
      <c r="P177" s="587" t="s">
        <v>499</v>
      </c>
      <c r="Q177" s="80"/>
      <c r="R177" s="610" t="s">
        <v>290</v>
      </c>
      <c r="S177" s="595"/>
      <c r="T177" s="595"/>
      <c r="U177" s="595"/>
      <c r="V177" s="595"/>
      <c r="W177" s="595"/>
      <c r="X177" s="595"/>
      <c r="Y177" s="595"/>
      <c r="Z177" s="595"/>
      <c r="AA177" s="595"/>
      <c r="AB177" s="595"/>
      <c r="AC177" s="595"/>
      <c r="AD177" s="595"/>
      <c r="AE177" s="595"/>
      <c r="AF177" s="595"/>
      <c r="AG177" s="595"/>
      <c r="AH177" s="595"/>
      <c r="AI177" s="595"/>
      <c r="AJ177" s="595"/>
      <c r="AK177" s="595"/>
      <c r="AL177" s="595"/>
      <c r="AM177" s="595"/>
    </row>
    <row r="178" spans="1:39" ht="92.1" hidden="1" x14ac:dyDescent="0.35">
      <c r="A178" s="586">
        <f t="shared" si="6"/>
        <v>159</v>
      </c>
      <c r="B178" s="587" t="s">
        <v>235</v>
      </c>
      <c r="C178" s="588">
        <v>80101706</v>
      </c>
      <c r="D178" s="612" t="s">
        <v>498</v>
      </c>
      <c r="E178" s="587" t="s">
        <v>59</v>
      </c>
      <c r="F178" s="587">
        <v>1</v>
      </c>
      <c r="G178" s="590" t="s">
        <v>74</v>
      </c>
      <c r="H178" s="591" t="s">
        <v>156</v>
      </c>
      <c r="I178" s="587" t="s">
        <v>61</v>
      </c>
      <c r="J178" s="587" t="s">
        <v>66</v>
      </c>
      <c r="K178" s="587" t="s">
        <v>473</v>
      </c>
      <c r="L178" s="592">
        <v>30000000</v>
      </c>
      <c r="M178" s="593">
        <v>30000000</v>
      </c>
      <c r="N178" s="587" t="s">
        <v>51</v>
      </c>
      <c r="O178" s="587" t="s">
        <v>36</v>
      </c>
      <c r="P178" s="587" t="s">
        <v>499</v>
      </c>
      <c r="Q178" s="80"/>
      <c r="R178" s="608"/>
      <c r="S178" s="595"/>
      <c r="T178" s="595"/>
      <c r="U178" s="595"/>
      <c r="V178" s="595"/>
      <c r="W178" s="595"/>
      <c r="X178" s="595"/>
      <c r="Y178" s="595"/>
      <c r="Z178" s="595"/>
      <c r="AA178" s="595"/>
      <c r="AB178" s="595"/>
      <c r="AC178" s="595"/>
      <c r="AD178" s="595"/>
      <c r="AE178" s="595"/>
      <c r="AF178" s="595"/>
      <c r="AG178" s="595"/>
      <c r="AH178" s="595"/>
      <c r="AI178" s="595"/>
      <c r="AJ178" s="595"/>
      <c r="AK178" s="595"/>
      <c r="AL178" s="595"/>
      <c r="AM178" s="595"/>
    </row>
    <row r="179" spans="1:39" ht="92.1" hidden="1" x14ac:dyDescent="0.35">
      <c r="A179" s="586">
        <f t="shared" si="6"/>
        <v>160</v>
      </c>
      <c r="B179" s="587" t="s">
        <v>247</v>
      </c>
      <c r="C179" s="588">
        <v>80101706</v>
      </c>
      <c r="D179" s="589" t="s">
        <v>542</v>
      </c>
      <c r="E179" s="587" t="s">
        <v>48</v>
      </c>
      <c r="F179" s="587">
        <v>1</v>
      </c>
      <c r="G179" s="590" t="s">
        <v>73</v>
      </c>
      <c r="H179" s="591">
        <v>8</v>
      </c>
      <c r="I179" s="587" t="s">
        <v>61</v>
      </c>
      <c r="J179" s="587" t="s">
        <v>35</v>
      </c>
      <c r="K179" s="587" t="s">
        <v>439</v>
      </c>
      <c r="L179" s="592">
        <v>14400000</v>
      </c>
      <c r="M179" s="593">
        <v>14400000</v>
      </c>
      <c r="N179" s="587" t="s">
        <v>51</v>
      </c>
      <c r="O179" s="587" t="s">
        <v>36</v>
      </c>
      <c r="P179" s="587" t="s">
        <v>511</v>
      </c>
      <c r="Q179" s="80"/>
      <c r="R179" s="610" t="s">
        <v>581</v>
      </c>
      <c r="S179" s="595"/>
      <c r="T179" s="595"/>
      <c r="U179" s="595"/>
      <c r="V179" s="595"/>
      <c r="W179" s="595"/>
      <c r="X179" s="595"/>
      <c r="Y179" s="595"/>
      <c r="Z179" s="595"/>
      <c r="AA179" s="595"/>
      <c r="AB179" s="595"/>
      <c r="AC179" s="595"/>
      <c r="AD179" s="595"/>
      <c r="AE179" s="595"/>
      <c r="AF179" s="595"/>
      <c r="AG179" s="595"/>
      <c r="AH179" s="595"/>
      <c r="AI179" s="595"/>
      <c r="AJ179" s="595"/>
      <c r="AK179" s="595"/>
      <c r="AL179" s="595"/>
      <c r="AM179" s="595"/>
    </row>
    <row r="180" spans="1:39" ht="92.1" hidden="1" x14ac:dyDescent="0.35">
      <c r="A180" s="586">
        <f t="shared" si="6"/>
        <v>161</v>
      </c>
      <c r="B180" s="587" t="s">
        <v>267</v>
      </c>
      <c r="C180" s="588">
        <v>44121505</v>
      </c>
      <c r="D180" s="589" t="s">
        <v>543</v>
      </c>
      <c r="E180" s="587" t="s">
        <v>48</v>
      </c>
      <c r="F180" s="587">
        <v>1</v>
      </c>
      <c r="G180" s="590" t="s">
        <v>75</v>
      </c>
      <c r="H180" s="591" t="s">
        <v>156</v>
      </c>
      <c r="I180" s="587" t="s">
        <v>173</v>
      </c>
      <c r="J180" s="587" t="s">
        <v>35</v>
      </c>
      <c r="K180" s="587" t="s">
        <v>41</v>
      </c>
      <c r="L180" s="592">
        <v>1620000</v>
      </c>
      <c r="M180" s="593">
        <v>1620000</v>
      </c>
      <c r="N180" s="587" t="s">
        <v>51</v>
      </c>
      <c r="O180" s="587" t="s">
        <v>36</v>
      </c>
      <c r="P180" s="587" t="s">
        <v>544</v>
      </c>
      <c r="Q180" s="80"/>
      <c r="R180" s="611"/>
      <c r="S180" s="595"/>
      <c r="T180" s="595"/>
      <c r="U180" s="595"/>
      <c r="V180" s="595"/>
      <c r="W180" s="595"/>
      <c r="X180" s="595"/>
      <c r="Y180" s="595"/>
      <c r="Z180" s="595"/>
      <c r="AA180" s="595"/>
      <c r="AB180" s="595"/>
      <c r="AC180" s="595"/>
      <c r="AD180" s="595"/>
      <c r="AE180" s="595"/>
      <c r="AF180" s="595"/>
      <c r="AG180" s="595"/>
      <c r="AH180" s="595"/>
      <c r="AI180" s="595"/>
      <c r="AJ180" s="595"/>
      <c r="AK180" s="595"/>
      <c r="AL180" s="595"/>
      <c r="AM180" s="595"/>
    </row>
    <row r="181" spans="1:39" ht="137.44999999999999" hidden="1" customHeight="1" x14ac:dyDescent="0.35">
      <c r="A181" s="586">
        <f t="shared" si="6"/>
        <v>162</v>
      </c>
      <c r="B181" s="587" t="s">
        <v>483</v>
      </c>
      <c r="C181" s="588">
        <v>41112409</v>
      </c>
      <c r="D181" s="612" t="s">
        <v>484</v>
      </c>
      <c r="E181" s="587" t="s">
        <v>48</v>
      </c>
      <c r="F181" s="587">
        <v>1</v>
      </c>
      <c r="G181" s="590" t="s">
        <v>75</v>
      </c>
      <c r="H181" s="591" t="s">
        <v>156</v>
      </c>
      <c r="I181" s="587" t="s">
        <v>55</v>
      </c>
      <c r="J181" s="587" t="s">
        <v>35</v>
      </c>
      <c r="K181" s="587" t="s">
        <v>195</v>
      </c>
      <c r="L181" s="592">
        <v>8000000</v>
      </c>
      <c r="M181" s="593">
        <v>8000000</v>
      </c>
      <c r="N181" s="587" t="s">
        <v>51</v>
      </c>
      <c r="O181" s="587" t="s">
        <v>36</v>
      </c>
      <c r="P181" s="587" t="s">
        <v>319</v>
      </c>
      <c r="Q181" s="80"/>
      <c r="R181" s="609"/>
      <c r="S181" s="595"/>
      <c r="T181" s="595"/>
      <c r="U181" s="595"/>
      <c r="V181" s="595"/>
      <c r="W181" s="595"/>
      <c r="X181" s="595"/>
      <c r="Y181" s="595"/>
      <c r="Z181" s="595"/>
      <c r="AA181" s="595"/>
      <c r="AB181" s="595"/>
      <c r="AC181" s="595"/>
      <c r="AD181" s="595"/>
      <c r="AE181" s="595"/>
      <c r="AF181" s="595"/>
      <c r="AG181" s="595"/>
      <c r="AH181" s="595"/>
      <c r="AI181" s="595"/>
      <c r="AJ181" s="595"/>
      <c r="AK181" s="595"/>
      <c r="AL181" s="595"/>
      <c r="AM181" s="595"/>
    </row>
    <row r="182" spans="1:39" ht="92.1" hidden="1" x14ac:dyDescent="0.35">
      <c r="A182" s="586">
        <f t="shared" si="6"/>
        <v>163</v>
      </c>
      <c r="B182" s="587" t="s">
        <v>170</v>
      </c>
      <c r="C182" s="588" t="s">
        <v>71</v>
      </c>
      <c r="D182" s="612" t="s">
        <v>547</v>
      </c>
      <c r="E182" s="587" t="s">
        <v>48</v>
      </c>
      <c r="F182" s="587">
        <v>1</v>
      </c>
      <c r="G182" s="590" t="s">
        <v>80</v>
      </c>
      <c r="H182" s="591" t="s">
        <v>177</v>
      </c>
      <c r="I182" s="587" t="s">
        <v>173</v>
      </c>
      <c r="J182" s="587" t="s">
        <v>66</v>
      </c>
      <c r="K182" s="587" t="s">
        <v>473</v>
      </c>
      <c r="L182" s="592">
        <v>90000000</v>
      </c>
      <c r="M182" s="593">
        <v>90000000</v>
      </c>
      <c r="N182" s="587" t="s">
        <v>51</v>
      </c>
      <c r="O182" s="587" t="s">
        <v>36</v>
      </c>
      <c r="P182" s="587" t="s">
        <v>525</v>
      </c>
      <c r="Q182" s="80"/>
      <c r="R182" s="611"/>
      <c r="S182" s="595"/>
      <c r="T182" s="595"/>
      <c r="U182" s="595"/>
      <c r="V182" s="595"/>
      <c r="W182" s="595"/>
      <c r="X182" s="595"/>
      <c r="Y182" s="595"/>
      <c r="Z182" s="595"/>
      <c r="AA182" s="595"/>
      <c r="AB182" s="595"/>
      <c r="AC182" s="595"/>
      <c r="AD182" s="595"/>
      <c r="AE182" s="595"/>
      <c r="AF182" s="595"/>
      <c r="AG182" s="595"/>
      <c r="AH182" s="595"/>
      <c r="AI182" s="595"/>
      <c r="AJ182" s="595"/>
      <c r="AK182" s="595"/>
      <c r="AL182" s="595"/>
      <c r="AM182" s="595"/>
    </row>
    <row r="183" spans="1:39" ht="92.1" hidden="1" x14ac:dyDescent="0.35">
      <c r="A183" s="586">
        <f t="shared" si="6"/>
        <v>164</v>
      </c>
      <c r="B183" s="587" t="s">
        <v>170</v>
      </c>
      <c r="C183" s="588" t="s">
        <v>71</v>
      </c>
      <c r="D183" s="612" t="s">
        <v>548</v>
      </c>
      <c r="E183" s="587" t="s">
        <v>48</v>
      </c>
      <c r="F183" s="587">
        <v>1</v>
      </c>
      <c r="G183" s="590" t="s">
        <v>73</v>
      </c>
      <c r="H183" s="591" t="s">
        <v>194</v>
      </c>
      <c r="I183" s="587" t="s">
        <v>55</v>
      </c>
      <c r="J183" s="587" t="s">
        <v>35</v>
      </c>
      <c r="K183" s="587" t="s">
        <v>314</v>
      </c>
      <c r="L183" s="592">
        <v>2500000</v>
      </c>
      <c r="M183" s="593">
        <v>2500000</v>
      </c>
      <c r="N183" s="587" t="s">
        <v>51</v>
      </c>
      <c r="O183" s="587" t="s">
        <v>36</v>
      </c>
      <c r="P183" s="587" t="s">
        <v>525</v>
      </c>
      <c r="Q183" s="80"/>
      <c r="R183" s="611"/>
      <c r="S183" s="595"/>
      <c r="T183" s="595"/>
      <c r="U183" s="595"/>
      <c r="V183" s="595"/>
      <c r="W183" s="595"/>
      <c r="X183" s="595"/>
      <c r="Y183" s="595"/>
      <c r="Z183" s="595"/>
      <c r="AA183" s="595"/>
      <c r="AB183" s="595"/>
      <c r="AC183" s="595"/>
      <c r="AD183" s="595"/>
      <c r="AE183" s="595"/>
      <c r="AF183" s="595"/>
      <c r="AG183" s="595"/>
      <c r="AH183" s="595"/>
      <c r="AI183" s="595"/>
      <c r="AJ183" s="595"/>
      <c r="AK183" s="595"/>
      <c r="AL183" s="595"/>
      <c r="AM183" s="595"/>
    </row>
    <row r="184" spans="1:39" ht="102.6" hidden="1" customHeight="1" x14ac:dyDescent="0.35">
      <c r="A184" s="586">
        <f t="shared" si="6"/>
        <v>165</v>
      </c>
      <c r="B184" s="587" t="s">
        <v>503</v>
      </c>
      <c r="C184" s="588" t="s">
        <v>71</v>
      </c>
      <c r="D184" s="612" t="s">
        <v>549</v>
      </c>
      <c r="E184" s="587" t="s">
        <v>48</v>
      </c>
      <c r="F184" s="587">
        <v>1</v>
      </c>
      <c r="G184" s="590" t="s">
        <v>80</v>
      </c>
      <c r="H184" s="591" t="s">
        <v>157</v>
      </c>
      <c r="I184" s="587" t="s">
        <v>53</v>
      </c>
      <c r="J184" s="587" t="s">
        <v>66</v>
      </c>
      <c r="K184" s="587" t="s">
        <v>473</v>
      </c>
      <c r="L184" s="592">
        <v>5000000</v>
      </c>
      <c r="M184" s="593">
        <v>5000000</v>
      </c>
      <c r="N184" s="587" t="s">
        <v>51</v>
      </c>
      <c r="O184" s="587" t="s">
        <v>36</v>
      </c>
      <c r="P184" s="587" t="s">
        <v>502</v>
      </c>
      <c r="Q184" s="80"/>
      <c r="R184" s="611"/>
      <c r="S184" s="595"/>
      <c r="T184" s="595"/>
      <c r="U184" s="595"/>
      <c r="V184" s="595"/>
      <c r="W184" s="595"/>
      <c r="X184" s="595"/>
      <c r="Y184" s="595"/>
      <c r="Z184" s="595"/>
      <c r="AA184" s="595"/>
      <c r="AB184" s="595"/>
      <c r="AC184" s="595"/>
      <c r="AD184" s="595"/>
      <c r="AE184" s="595"/>
      <c r="AF184" s="595"/>
      <c r="AG184" s="595"/>
      <c r="AH184" s="595"/>
      <c r="AI184" s="595"/>
      <c r="AJ184" s="595"/>
      <c r="AK184" s="595"/>
      <c r="AL184" s="595"/>
      <c r="AM184" s="595"/>
    </row>
    <row r="185" spans="1:39" ht="69" hidden="1" x14ac:dyDescent="0.35">
      <c r="A185" s="586">
        <f t="shared" ref="A185" si="7">SUM(A184+1)</f>
        <v>166</v>
      </c>
      <c r="B185" s="587" t="s">
        <v>266</v>
      </c>
      <c r="C185" s="588" t="s">
        <v>71</v>
      </c>
      <c r="D185" s="612" t="s">
        <v>550</v>
      </c>
      <c r="E185" s="587" t="s">
        <v>48</v>
      </c>
      <c r="F185" s="587">
        <v>1</v>
      </c>
      <c r="G185" s="590" t="s">
        <v>73</v>
      </c>
      <c r="H185" s="591" t="s">
        <v>194</v>
      </c>
      <c r="I185" s="587" t="s">
        <v>173</v>
      </c>
      <c r="J185" s="587" t="s">
        <v>35</v>
      </c>
      <c r="K185" s="587" t="s">
        <v>203</v>
      </c>
      <c r="L185" s="592">
        <v>26000000</v>
      </c>
      <c r="M185" s="593">
        <v>26000000</v>
      </c>
      <c r="N185" s="587" t="s">
        <v>51</v>
      </c>
      <c r="O185" s="587" t="s">
        <v>36</v>
      </c>
      <c r="P185" s="587" t="s">
        <v>527</v>
      </c>
      <c r="Q185" s="80"/>
      <c r="R185" s="611"/>
      <c r="S185" s="595"/>
      <c r="T185" s="595"/>
      <c r="U185" s="595"/>
      <c r="V185" s="595"/>
      <c r="W185" s="595"/>
      <c r="X185" s="595"/>
      <c r="Y185" s="595"/>
      <c r="Z185" s="595"/>
      <c r="AA185" s="595"/>
      <c r="AB185" s="595"/>
      <c r="AC185" s="595"/>
      <c r="AD185" s="595"/>
      <c r="AE185" s="595"/>
      <c r="AF185" s="595"/>
      <c r="AG185" s="595"/>
      <c r="AH185" s="595"/>
      <c r="AI185" s="595"/>
      <c r="AJ185" s="595"/>
      <c r="AK185" s="595"/>
      <c r="AL185" s="595"/>
      <c r="AM185" s="595"/>
    </row>
    <row r="192" spans="1:39" ht="64.150000000000006" customHeight="1" x14ac:dyDescent="0.35">
      <c r="D192" s="80"/>
      <c r="E192" s="808" t="s">
        <v>582</v>
      </c>
      <c r="F192" s="809"/>
      <c r="G192" s="809"/>
      <c r="H192" s="809"/>
      <c r="I192" s="810"/>
    </row>
    <row r="194" spans="4:9" ht="58.15" customHeight="1" x14ac:dyDescent="0.35">
      <c r="D194" s="625"/>
      <c r="E194" s="808" t="s">
        <v>587</v>
      </c>
      <c r="F194" s="809"/>
      <c r="G194" s="809"/>
      <c r="H194" s="809"/>
      <c r="I194" s="810"/>
    </row>
  </sheetData>
  <autoFilter ref="A19:R185">
    <filterColumn colId="9">
      <filters>
        <filter val="INVERSIÓN"/>
      </filters>
    </filterColumn>
    <filterColumn colId="10">
      <filters>
        <filter val="C-0505-1000-1 RECURSO 10 DESARROLLO Y FORTALECIM DE CAPACIDADES DE DE LAS ENTIDADES TERRITORIALES DE LA CIRCUNSCRIPCION NACIONAL"/>
      </filters>
    </filterColumn>
    <sortState ref="A58:R184">
      <sortCondition sortBy="cellColor" ref="D19:D185" dxfId="0"/>
    </sortState>
  </autoFilter>
  <mergeCells count="18">
    <mergeCell ref="B2:P2"/>
    <mergeCell ref="C4:D4"/>
    <mergeCell ref="D5:E5"/>
    <mergeCell ref="I5:M9"/>
    <mergeCell ref="D6:E6"/>
    <mergeCell ref="D7:E7"/>
    <mergeCell ref="D8:E8"/>
    <mergeCell ref="D9:E9"/>
    <mergeCell ref="C17:D17"/>
    <mergeCell ref="E192:I192"/>
    <mergeCell ref="E194:I194"/>
    <mergeCell ref="D10:E10"/>
    <mergeCell ref="D11:E11"/>
    <mergeCell ref="I11:M15"/>
    <mergeCell ref="D12:E12"/>
    <mergeCell ref="D13:E13"/>
    <mergeCell ref="D14:E14"/>
    <mergeCell ref="D15:E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
  <sheetViews>
    <sheetView zoomScale="50" zoomScaleNormal="50" workbookViewId="0">
      <selection sqref="A1:K5"/>
    </sheetView>
  </sheetViews>
  <sheetFormatPr baseColWidth="10" defaultRowHeight="18.75" x14ac:dyDescent="0.3"/>
  <cols>
    <col min="1" max="8" width="4.85546875" customWidth="1"/>
    <col min="9" max="9" width="39" customWidth="1"/>
    <col min="10" max="12" width="39" style="110" customWidth="1"/>
    <col min="13" max="13" width="4.28515625" style="80" customWidth="1"/>
    <col min="14" max="14" width="35" style="105" customWidth="1"/>
    <col min="15" max="15" width="33" style="105" customWidth="1"/>
    <col min="16" max="16" width="65.28515625" style="105" customWidth="1"/>
    <col min="17" max="17" width="5.140625" style="80" customWidth="1"/>
    <col min="18" max="18" width="28.5703125" style="109" customWidth="1"/>
    <col min="19" max="19" width="31.7109375" style="109" customWidth="1"/>
    <col min="20" max="20" width="31" style="109" customWidth="1"/>
    <col min="21" max="21" width="8" style="80" customWidth="1"/>
    <col min="22" max="22" width="33.28515625" customWidth="1"/>
    <col min="23" max="23" width="30.7109375" customWidth="1"/>
    <col min="257" max="264" width="4.85546875" customWidth="1"/>
    <col min="265" max="265" width="39" customWidth="1"/>
    <col min="266" max="266" width="35" customWidth="1"/>
    <col min="267" max="267" width="33" customWidth="1"/>
    <col min="268" max="268" width="32.5703125" customWidth="1"/>
    <col min="269" max="269" width="5.140625" customWidth="1"/>
    <col min="270" max="270" width="30.7109375" customWidth="1"/>
    <col min="271" max="271" width="29" customWidth="1"/>
    <col min="272" max="272" width="42.42578125" customWidth="1"/>
    <col min="273" max="273" width="7" customWidth="1"/>
    <col min="274" max="274" width="28.5703125" customWidth="1"/>
    <col min="275" max="275" width="30.140625" customWidth="1"/>
    <col min="276" max="276" width="24.42578125" customWidth="1"/>
    <col min="513" max="520" width="4.85546875" customWidth="1"/>
    <col min="521" max="521" width="39" customWidth="1"/>
    <col min="522" max="522" width="35" customWidth="1"/>
    <col min="523" max="523" width="33" customWidth="1"/>
    <col min="524" max="524" width="32.5703125" customWidth="1"/>
    <col min="525" max="525" width="5.140625" customWidth="1"/>
    <col min="526" max="526" width="30.7109375" customWidth="1"/>
    <col min="527" max="527" width="29" customWidth="1"/>
    <col min="528" max="528" width="42.42578125" customWidth="1"/>
    <col min="529" max="529" width="7" customWidth="1"/>
    <col min="530" max="530" width="28.5703125" customWidth="1"/>
    <col min="531" max="531" width="30.140625" customWidth="1"/>
    <col min="532" max="532" width="24.42578125" customWidth="1"/>
    <col min="769" max="776" width="4.85546875" customWidth="1"/>
    <col min="777" max="777" width="39" customWidth="1"/>
    <col min="778" max="778" width="35" customWidth="1"/>
    <col min="779" max="779" width="33" customWidth="1"/>
    <col min="780" max="780" width="32.5703125" customWidth="1"/>
    <col min="781" max="781" width="5.140625" customWidth="1"/>
    <col min="782" max="782" width="30.7109375" customWidth="1"/>
    <col min="783" max="783" width="29" customWidth="1"/>
    <col min="784" max="784" width="42.42578125" customWidth="1"/>
    <col min="785" max="785" width="7" customWidth="1"/>
    <col min="786" max="786" width="28.5703125" customWidth="1"/>
    <col min="787" max="787" width="30.140625" customWidth="1"/>
    <col min="788" max="788" width="24.42578125" customWidth="1"/>
    <col min="1025" max="1032" width="4.85546875" customWidth="1"/>
    <col min="1033" max="1033" width="39" customWidth="1"/>
    <col min="1034" max="1034" width="35" customWidth="1"/>
    <col min="1035" max="1035" width="33" customWidth="1"/>
    <col min="1036" max="1036" width="32.5703125" customWidth="1"/>
    <col min="1037" max="1037" width="5.140625" customWidth="1"/>
    <col min="1038" max="1038" width="30.7109375" customWidth="1"/>
    <col min="1039" max="1039" width="29" customWidth="1"/>
    <col min="1040" max="1040" width="42.42578125" customWidth="1"/>
    <col min="1041" max="1041" width="7" customWidth="1"/>
    <col min="1042" max="1042" width="28.5703125" customWidth="1"/>
    <col min="1043" max="1043" width="30.140625" customWidth="1"/>
    <col min="1044" max="1044" width="24.42578125" customWidth="1"/>
    <col min="1281" max="1288" width="4.85546875" customWidth="1"/>
    <col min="1289" max="1289" width="39" customWidth="1"/>
    <col min="1290" max="1290" width="35" customWidth="1"/>
    <col min="1291" max="1291" width="33" customWidth="1"/>
    <col min="1292" max="1292" width="32.5703125" customWidth="1"/>
    <col min="1293" max="1293" width="5.140625" customWidth="1"/>
    <col min="1294" max="1294" width="30.7109375" customWidth="1"/>
    <col min="1295" max="1295" width="29" customWidth="1"/>
    <col min="1296" max="1296" width="42.42578125" customWidth="1"/>
    <col min="1297" max="1297" width="7" customWidth="1"/>
    <col min="1298" max="1298" width="28.5703125" customWidth="1"/>
    <col min="1299" max="1299" width="30.140625" customWidth="1"/>
    <col min="1300" max="1300" width="24.42578125" customWidth="1"/>
    <col min="1537" max="1544" width="4.85546875" customWidth="1"/>
    <col min="1545" max="1545" width="39" customWidth="1"/>
    <col min="1546" max="1546" width="35" customWidth="1"/>
    <col min="1547" max="1547" width="33" customWidth="1"/>
    <col min="1548" max="1548" width="32.5703125" customWidth="1"/>
    <col min="1549" max="1549" width="5.140625" customWidth="1"/>
    <col min="1550" max="1550" width="30.7109375" customWidth="1"/>
    <col min="1551" max="1551" width="29" customWidth="1"/>
    <col min="1552" max="1552" width="42.42578125" customWidth="1"/>
    <col min="1553" max="1553" width="7" customWidth="1"/>
    <col min="1554" max="1554" width="28.5703125" customWidth="1"/>
    <col min="1555" max="1555" width="30.140625" customWidth="1"/>
    <col min="1556" max="1556" width="24.42578125" customWidth="1"/>
    <col min="1793" max="1800" width="4.85546875" customWidth="1"/>
    <col min="1801" max="1801" width="39" customWidth="1"/>
    <col min="1802" max="1802" width="35" customWidth="1"/>
    <col min="1803" max="1803" width="33" customWidth="1"/>
    <col min="1804" max="1804" width="32.5703125" customWidth="1"/>
    <col min="1805" max="1805" width="5.140625" customWidth="1"/>
    <col min="1806" max="1806" width="30.7109375" customWidth="1"/>
    <col min="1807" max="1807" width="29" customWidth="1"/>
    <col min="1808" max="1808" width="42.42578125" customWidth="1"/>
    <col min="1809" max="1809" width="7" customWidth="1"/>
    <col min="1810" max="1810" width="28.5703125" customWidth="1"/>
    <col min="1811" max="1811" width="30.140625" customWidth="1"/>
    <col min="1812" max="1812" width="24.42578125" customWidth="1"/>
    <col min="2049" max="2056" width="4.85546875" customWidth="1"/>
    <col min="2057" max="2057" width="39" customWidth="1"/>
    <col min="2058" max="2058" width="35" customWidth="1"/>
    <col min="2059" max="2059" width="33" customWidth="1"/>
    <col min="2060" max="2060" width="32.5703125" customWidth="1"/>
    <col min="2061" max="2061" width="5.140625" customWidth="1"/>
    <col min="2062" max="2062" width="30.7109375" customWidth="1"/>
    <col min="2063" max="2063" width="29" customWidth="1"/>
    <col min="2064" max="2064" width="42.42578125" customWidth="1"/>
    <col min="2065" max="2065" width="7" customWidth="1"/>
    <col min="2066" max="2066" width="28.5703125" customWidth="1"/>
    <col min="2067" max="2067" width="30.140625" customWidth="1"/>
    <col min="2068" max="2068" width="24.42578125" customWidth="1"/>
    <col min="2305" max="2312" width="4.85546875" customWidth="1"/>
    <col min="2313" max="2313" width="39" customWidth="1"/>
    <col min="2314" max="2314" width="35" customWidth="1"/>
    <col min="2315" max="2315" width="33" customWidth="1"/>
    <col min="2316" max="2316" width="32.5703125" customWidth="1"/>
    <col min="2317" max="2317" width="5.140625" customWidth="1"/>
    <col min="2318" max="2318" width="30.7109375" customWidth="1"/>
    <col min="2319" max="2319" width="29" customWidth="1"/>
    <col min="2320" max="2320" width="42.42578125" customWidth="1"/>
    <col min="2321" max="2321" width="7" customWidth="1"/>
    <col min="2322" max="2322" width="28.5703125" customWidth="1"/>
    <col min="2323" max="2323" width="30.140625" customWidth="1"/>
    <col min="2324" max="2324" width="24.42578125" customWidth="1"/>
    <col min="2561" max="2568" width="4.85546875" customWidth="1"/>
    <col min="2569" max="2569" width="39" customWidth="1"/>
    <col min="2570" max="2570" width="35" customWidth="1"/>
    <col min="2571" max="2571" width="33" customWidth="1"/>
    <col min="2572" max="2572" width="32.5703125" customWidth="1"/>
    <col min="2573" max="2573" width="5.140625" customWidth="1"/>
    <col min="2574" max="2574" width="30.7109375" customWidth="1"/>
    <col min="2575" max="2575" width="29" customWidth="1"/>
    <col min="2576" max="2576" width="42.42578125" customWidth="1"/>
    <col min="2577" max="2577" width="7" customWidth="1"/>
    <col min="2578" max="2578" width="28.5703125" customWidth="1"/>
    <col min="2579" max="2579" width="30.140625" customWidth="1"/>
    <col min="2580" max="2580" width="24.42578125" customWidth="1"/>
    <col min="2817" max="2824" width="4.85546875" customWidth="1"/>
    <col min="2825" max="2825" width="39" customWidth="1"/>
    <col min="2826" max="2826" width="35" customWidth="1"/>
    <col min="2827" max="2827" width="33" customWidth="1"/>
    <col min="2828" max="2828" width="32.5703125" customWidth="1"/>
    <col min="2829" max="2829" width="5.140625" customWidth="1"/>
    <col min="2830" max="2830" width="30.7109375" customWidth="1"/>
    <col min="2831" max="2831" width="29" customWidth="1"/>
    <col min="2832" max="2832" width="42.42578125" customWidth="1"/>
    <col min="2833" max="2833" width="7" customWidth="1"/>
    <col min="2834" max="2834" width="28.5703125" customWidth="1"/>
    <col min="2835" max="2835" width="30.140625" customWidth="1"/>
    <col min="2836" max="2836" width="24.42578125" customWidth="1"/>
    <col min="3073" max="3080" width="4.85546875" customWidth="1"/>
    <col min="3081" max="3081" width="39" customWidth="1"/>
    <col min="3082" max="3082" width="35" customWidth="1"/>
    <col min="3083" max="3083" width="33" customWidth="1"/>
    <col min="3084" max="3084" width="32.5703125" customWidth="1"/>
    <col min="3085" max="3085" width="5.140625" customWidth="1"/>
    <col min="3086" max="3086" width="30.7109375" customWidth="1"/>
    <col min="3087" max="3087" width="29" customWidth="1"/>
    <col min="3088" max="3088" width="42.42578125" customWidth="1"/>
    <col min="3089" max="3089" width="7" customWidth="1"/>
    <col min="3090" max="3090" width="28.5703125" customWidth="1"/>
    <col min="3091" max="3091" width="30.140625" customWidth="1"/>
    <col min="3092" max="3092" width="24.42578125" customWidth="1"/>
    <col min="3329" max="3336" width="4.85546875" customWidth="1"/>
    <col min="3337" max="3337" width="39" customWidth="1"/>
    <col min="3338" max="3338" width="35" customWidth="1"/>
    <col min="3339" max="3339" width="33" customWidth="1"/>
    <col min="3340" max="3340" width="32.5703125" customWidth="1"/>
    <col min="3341" max="3341" width="5.140625" customWidth="1"/>
    <col min="3342" max="3342" width="30.7109375" customWidth="1"/>
    <col min="3343" max="3343" width="29" customWidth="1"/>
    <col min="3344" max="3344" width="42.42578125" customWidth="1"/>
    <col min="3345" max="3345" width="7" customWidth="1"/>
    <col min="3346" max="3346" width="28.5703125" customWidth="1"/>
    <col min="3347" max="3347" width="30.140625" customWidth="1"/>
    <col min="3348" max="3348" width="24.42578125" customWidth="1"/>
    <col min="3585" max="3592" width="4.85546875" customWidth="1"/>
    <col min="3593" max="3593" width="39" customWidth="1"/>
    <col min="3594" max="3594" width="35" customWidth="1"/>
    <col min="3595" max="3595" width="33" customWidth="1"/>
    <col min="3596" max="3596" width="32.5703125" customWidth="1"/>
    <col min="3597" max="3597" width="5.140625" customWidth="1"/>
    <col min="3598" max="3598" width="30.7109375" customWidth="1"/>
    <col min="3599" max="3599" width="29" customWidth="1"/>
    <col min="3600" max="3600" width="42.42578125" customWidth="1"/>
    <col min="3601" max="3601" width="7" customWidth="1"/>
    <col min="3602" max="3602" width="28.5703125" customWidth="1"/>
    <col min="3603" max="3603" width="30.140625" customWidth="1"/>
    <col min="3604" max="3604" width="24.42578125" customWidth="1"/>
    <col min="3841" max="3848" width="4.85546875" customWidth="1"/>
    <col min="3849" max="3849" width="39" customWidth="1"/>
    <col min="3850" max="3850" width="35" customWidth="1"/>
    <col min="3851" max="3851" width="33" customWidth="1"/>
    <col min="3852" max="3852" width="32.5703125" customWidth="1"/>
    <col min="3853" max="3853" width="5.140625" customWidth="1"/>
    <col min="3854" max="3854" width="30.7109375" customWidth="1"/>
    <col min="3855" max="3855" width="29" customWidth="1"/>
    <col min="3856" max="3856" width="42.42578125" customWidth="1"/>
    <col min="3857" max="3857" width="7" customWidth="1"/>
    <col min="3858" max="3858" width="28.5703125" customWidth="1"/>
    <col min="3859" max="3859" width="30.140625" customWidth="1"/>
    <col min="3860" max="3860" width="24.42578125" customWidth="1"/>
    <col min="4097" max="4104" width="4.85546875" customWidth="1"/>
    <col min="4105" max="4105" width="39" customWidth="1"/>
    <col min="4106" max="4106" width="35" customWidth="1"/>
    <col min="4107" max="4107" width="33" customWidth="1"/>
    <col min="4108" max="4108" width="32.5703125" customWidth="1"/>
    <col min="4109" max="4109" width="5.140625" customWidth="1"/>
    <col min="4110" max="4110" width="30.7109375" customWidth="1"/>
    <col min="4111" max="4111" width="29" customWidth="1"/>
    <col min="4112" max="4112" width="42.42578125" customWidth="1"/>
    <col min="4113" max="4113" width="7" customWidth="1"/>
    <col min="4114" max="4114" width="28.5703125" customWidth="1"/>
    <col min="4115" max="4115" width="30.140625" customWidth="1"/>
    <col min="4116" max="4116" width="24.42578125" customWidth="1"/>
    <col min="4353" max="4360" width="4.85546875" customWidth="1"/>
    <col min="4361" max="4361" width="39" customWidth="1"/>
    <col min="4362" max="4362" width="35" customWidth="1"/>
    <col min="4363" max="4363" width="33" customWidth="1"/>
    <col min="4364" max="4364" width="32.5703125" customWidth="1"/>
    <col min="4365" max="4365" width="5.140625" customWidth="1"/>
    <col min="4366" max="4366" width="30.7109375" customWidth="1"/>
    <col min="4367" max="4367" width="29" customWidth="1"/>
    <col min="4368" max="4368" width="42.42578125" customWidth="1"/>
    <col min="4369" max="4369" width="7" customWidth="1"/>
    <col min="4370" max="4370" width="28.5703125" customWidth="1"/>
    <col min="4371" max="4371" width="30.140625" customWidth="1"/>
    <col min="4372" max="4372" width="24.42578125" customWidth="1"/>
    <col min="4609" max="4616" width="4.85546875" customWidth="1"/>
    <col min="4617" max="4617" width="39" customWidth="1"/>
    <col min="4618" max="4618" width="35" customWidth="1"/>
    <col min="4619" max="4619" width="33" customWidth="1"/>
    <col min="4620" max="4620" width="32.5703125" customWidth="1"/>
    <col min="4621" max="4621" width="5.140625" customWidth="1"/>
    <col min="4622" max="4622" width="30.7109375" customWidth="1"/>
    <col min="4623" max="4623" width="29" customWidth="1"/>
    <col min="4624" max="4624" width="42.42578125" customWidth="1"/>
    <col min="4625" max="4625" width="7" customWidth="1"/>
    <col min="4626" max="4626" width="28.5703125" customWidth="1"/>
    <col min="4627" max="4627" width="30.140625" customWidth="1"/>
    <col min="4628" max="4628" width="24.42578125" customWidth="1"/>
    <col min="4865" max="4872" width="4.85546875" customWidth="1"/>
    <col min="4873" max="4873" width="39" customWidth="1"/>
    <col min="4874" max="4874" width="35" customWidth="1"/>
    <col min="4875" max="4875" width="33" customWidth="1"/>
    <col min="4876" max="4876" width="32.5703125" customWidth="1"/>
    <col min="4877" max="4877" width="5.140625" customWidth="1"/>
    <col min="4878" max="4878" width="30.7109375" customWidth="1"/>
    <col min="4879" max="4879" width="29" customWidth="1"/>
    <col min="4880" max="4880" width="42.42578125" customWidth="1"/>
    <col min="4881" max="4881" width="7" customWidth="1"/>
    <col min="4882" max="4882" width="28.5703125" customWidth="1"/>
    <col min="4883" max="4883" width="30.140625" customWidth="1"/>
    <col min="4884" max="4884" width="24.42578125" customWidth="1"/>
    <col min="5121" max="5128" width="4.85546875" customWidth="1"/>
    <col min="5129" max="5129" width="39" customWidth="1"/>
    <col min="5130" max="5130" width="35" customWidth="1"/>
    <col min="5131" max="5131" width="33" customWidth="1"/>
    <col min="5132" max="5132" width="32.5703125" customWidth="1"/>
    <col min="5133" max="5133" width="5.140625" customWidth="1"/>
    <col min="5134" max="5134" width="30.7109375" customWidth="1"/>
    <col min="5135" max="5135" width="29" customWidth="1"/>
    <col min="5136" max="5136" width="42.42578125" customWidth="1"/>
    <col min="5137" max="5137" width="7" customWidth="1"/>
    <col min="5138" max="5138" width="28.5703125" customWidth="1"/>
    <col min="5139" max="5139" width="30.140625" customWidth="1"/>
    <col min="5140" max="5140" width="24.42578125" customWidth="1"/>
    <col min="5377" max="5384" width="4.85546875" customWidth="1"/>
    <col min="5385" max="5385" width="39" customWidth="1"/>
    <col min="5386" max="5386" width="35" customWidth="1"/>
    <col min="5387" max="5387" width="33" customWidth="1"/>
    <col min="5388" max="5388" width="32.5703125" customWidth="1"/>
    <col min="5389" max="5389" width="5.140625" customWidth="1"/>
    <col min="5390" max="5390" width="30.7109375" customWidth="1"/>
    <col min="5391" max="5391" width="29" customWidth="1"/>
    <col min="5392" max="5392" width="42.42578125" customWidth="1"/>
    <col min="5393" max="5393" width="7" customWidth="1"/>
    <col min="5394" max="5394" width="28.5703125" customWidth="1"/>
    <col min="5395" max="5395" width="30.140625" customWidth="1"/>
    <col min="5396" max="5396" width="24.42578125" customWidth="1"/>
    <col min="5633" max="5640" width="4.85546875" customWidth="1"/>
    <col min="5641" max="5641" width="39" customWidth="1"/>
    <col min="5642" max="5642" width="35" customWidth="1"/>
    <col min="5643" max="5643" width="33" customWidth="1"/>
    <col min="5644" max="5644" width="32.5703125" customWidth="1"/>
    <col min="5645" max="5645" width="5.140625" customWidth="1"/>
    <col min="5646" max="5646" width="30.7109375" customWidth="1"/>
    <col min="5647" max="5647" width="29" customWidth="1"/>
    <col min="5648" max="5648" width="42.42578125" customWidth="1"/>
    <col min="5649" max="5649" width="7" customWidth="1"/>
    <col min="5650" max="5650" width="28.5703125" customWidth="1"/>
    <col min="5651" max="5651" width="30.140625" customWidth="1"/>
    <col min="5652" max="5652" width="24.42578125" customWidth="1"/>
    <col min="5889" max="5896" width="4.85546875" customWidth="1"/>
    <col min="5897" max="5897" width="39" customWidth="1"/>
    <col min="5898" max="5898" width="35" customWidth="1"/>
    <col min="5899" max="5899" width="33" customWidth="1"/>
    <col min="5900" max="5900" width="32.5703125" customWidth="1"/>
    <col min="5901" max="5901" width="5.140625" customWidth="1"/>
    <col min="5902" max="5902" width="30.7109375" customWidth="1"/>
    <col min="5903" max="5903" width="29" customWidth="1"/>
    <col min="5904" max="5904" width="42.42578125" customWidth="1"/>
    <col min="5905" max="5905" width="7" customWidth="1"/>
    <col min="5906" max="5906" width="28.5703125" customWidth="1"/>
    <col min="5907" max="5907" width="30.140625" customWidth="1"/>
    <col min="5908" max="5908" width="24.42578125" customWidth="1"/>
    <col min="6145" max="6152" width="4.85546875" customWidth="1"/>
    <col min="6153" max="6153" width="39" customWidth="1"/>
    <col min="6154" max="6154" width="35" customWidth="1"/>
    <col min="6155" max="6155" width="33" customWidth="1"/>
    <col min="6156" max="6156" width="32.5703125" customWidth="1"/>
    <col min="6157" max="6157" width="5.140625" customWidth="1"/>
    <col min="6158" max="6158" width="30.7109375" customWidth="1"/>
    <col min="6159" max="6159" width="29" customWidth="1"/>
    <col min="6160" max="6160" width="42.42578125" customWidth="1"/>
    <col min="6161" max="6161" width="7" customWidth="1"/>
    <col min="6162" max="6162" width="28.5703125" customWidth="1"/>
    <col min="6163" max="6163" width="30.140625" customWidth="1"/>
    <col min="6164" max="6164" width="24.42578125" customWidth="1"/>
    <col min="6401" max="6408" width="4.85546875" customWidth="1"/>
    <col min="6409" max="6409" width="39" customWidth="1"/>
    <col min="6410" max="6410" width="35" customWidth="1"/>
    <col min="6411" max="6411" width="33" customWidth="1"/>
    <col min="6412" max="6412" width="32.5703125" customWidth="1"/>
    <col min="6413" max="6413" width="5.140625" customWidth="1"/>
    <col min="6414" max="6414" width="30.7109375" customWidth="1"/>
    <col min="6415" max="6415" width="29" customWidth="1"/>
    <col min="6416" max="6416" width="42.42578125" customWidth="1"/>
    <col min="6417" max="6417" width="7" customWidth="1"/>
    <col min="6418" max="6418" width="28.5703125" customWidth="1"/>
    <col min="6419" max="6419" width="30.140625" customWidth="1"/>
    <col min="6420" max="6420" width="24.42578125" customWidth="1"/>
    <col min="6657" max="6664" width="4.85546875" customWidth="1"/>
    <col min="6665" max="6665" width="39" customWidth="1"/>
    <col min="6666" max="6666" width="35" customWidth="1"/>
    <col min="6667" max="6667" width="33" customWidth="1"/>
    <col min="6668" max="6668" width="32.5703125" customWidth="1"/>
    <col min="6669" max="6669" width="5.140625" customWidth="1"/>
    <col min="6670" max="6670" width="30.7109375" customWidth="1"/>
    <col min="6671" max="6671" width="29" customWidth="1"/>
    <col min="6672" max="6672" width="42.42578125" customWidth="1"/>
    <col min="6673" max="6673" width="7" customWidth="1"/>
    <col min="6674" max="6674" width="28.5703125" customWidth="1"/>
    <col min="6675" max="6675" width="30.140625" customWidth="1"/>
    <col min="6676" max="6676" width="24.42578125" customWidth="1"/>
    <col min="6913" max="6920" width="4.85546875" customWidth="1"/>
    <col min="6921" max="6921" width="39" customWidth="1"/>
    <col min="6922" max="6922" width="35" customWidth="1"/>
    <col min="6923" max="6923" width="33" customWidth="1"/>
    <col min="6924" max="6924" width="32.5703125" customWidth="1"/>
    <col min="6925" max="6925" width="5.140625" customWidth="1"/>
    <col min="6926" max="6926" width="30.7109375" customWidth="1"/>
    <col min="6927" max="6927" width="29" customWidth="1"/>
    <col min="6928" max="6928" width="42.42578125" customWidth="1"/>
    <col min="6929" max="6929" width="7" customWidth="1"/>
    <col min="6930" max="6930" width="28.5703125" customWidth="1"/>
    <col min="6931" max="6931" width="30.140625" customWidth="1"/>
    <col min="6932" max="6932" width="24.42578125" customWidth="1"/>
    <col min="7169" max="7176" width="4.85546875" customWidth="1"/>
    <col min="7177" max="7177" width="39" customWidth="1"/>
    <col min="7178" max="7178" width="35" customWidth="1"/>
    <col min="7179" max="7179" width="33" customWidth="1"/>
    <col min="7180" max="7180" width="32.5703125" customWidth="1"/>
    <col min="7181" max="7181" width="5.140625" customWidth="1"/>
    <col min="7182" max="7182" width="30.7109375" customWidth="1"/>
    <col min="7183" max="7183" width="29" customWidth="1"/>
    <col min="7184" max="7184" width="42.42578125" customWidth="1"/>
    <col min="7185" max="7185" width="7" customWidth="1"/>
    <col min="7186" max="7186" width="28.5703125" customWidth="1"/>
    <col min="7187" max="7187" width="30.140625" customWidth="1"/>
    <col min="7188" max="7188" width="24.42578125" customWidth="1"/>
    <col min="7425" max="7432" width="4.85546875" customWidth="1"/>
    <col min="7433" max="7433" width="39" customWidth="1"/>
    <col min="7434" max="7434" width="35" customWidth="1"/>
    <col min="7435" max="7435" width="33" customWidth="1"/>
    <col min="7436" max="7436" width="32.5703125" customWidth="1"/>
    <col min="7437" max="7437" width="5.140625" customWidth="1"/>
    <col min="7438" max="7438" width="30.7109375" customWidth="1"/>
    <col min="7439" max="7439" width="29" customWidth="1"/>
    <col min="7440" max="7440" width="42.42578125" customWidth="1"/>
    <col min="7441" max="7441" width="7" customWidth="1"/>
    <col min="7442" max="7442" width="28.5703125" customWidth="1"/>
    <col min="7443" max="7443" width="30.140625" customWidth="1"/>
    <col min="7444" max="7444" width="24.42578125" customWidth="1"/>
    <col min="7681" max="7688" width="4.85546875" customWidth="1"/>
    <col min="7689" max="7689" width="39" customWidth="1"/>
    <col min="7690" max="7690" width="35" customWidth="1"/>
    <col min="7691" max="7691" width="33" customWidth="1"/>
    <col min="7692" max="7692" width="32.5703125" customWidth="1"/>
    <col min="7693" max="7693" width="5.140625" customWidth="1"/>
    <col min="7694" max="7694" width="30.7109375" customWidth="1"/>
    <col min="7695" max="7695" width="29" customWidth="1"/>
    <col min="7696" max="7696" width="42.42578125" customWidth="1"/>
    <col min="7697" max="7697" width="7" customWidth="1"/>
    <col min="7698" max="7698" width="28.5703125" customWidth="1"/>
    <col min="7699" max="7699" width="30.140625" customWidth="1"/>
    <col min="7700" max="7700" width="24.42578125" customWidth="1"/>
    <col min="7937" max="7944" width="4.85546875" customWidth="1"/>
    <col min="7945" max="7945" width="39" customWidth="1"/>
    <col min="7946" max="7946" width="35" customWidth="1"/>
    <col min="7947" max="7947" width="33" customWidth="1"/>
    <col min="7948" max="7948" width="32.5703125" customWidth="1"/>
    <col min="7949" max="7949" width="5.140625" customWidth="1"/>
    <col min="7950" max="7950" width="30.7109375" customWidth="1"/>
    <col min="7951" max="7951" width="29" customWidth="1"/>
    <col min="7952" max="7952" width="42.42578125" customWidth="1"/>
    <col min="7953" max="7953" width="7" customWidth="1"/>
    <col min="7954" max="7954" width="28.5703125" customWidth="1"/>
    <col min="7955" max="7955" width="30.140625" customWidth="1"/>
    <col min="7956" max="7956" width="24.42578125" customWidth="1"/>
    <col min="8193" max="8200" width="4.85546875" customWidth="1"/>
    <col min="8201" max="8201" width="39" customWidth="1"/>
    <col min="8202" max="8202" width="35" customWidth="1"/>
    <col min="8203" max="8203" width="33" customWidth="1"/>
    <col min="8204" max="8204" width="32.5703125" customWidth="1"/>
    <col min="8205" max="8205" width="5.140625" customWidth="1"/>
    <col min="8206" max="8206" width="30.7109375" customWidth="1"/>
    <col min="8207" max="8207" width="29" customWidth="1"/>
    <col min="8208" max="8208" width="42.42578125" customWidth="1"/>
    <col min="8209" max="8209" width="7" customWidth="1"/>
    <col min="8210" max="8210" width="28.5703125" customWidth="1"/>
    <col min="8211" max="8211" width="30.140625" customWidth="1"/>
    <col min="8212" max="8212" width="24.42578125" customWidth="1"/>
    <col min="8449" max="8456" width="4.85546875" customWidth="1"/>
    <col min="8457" max="8457" width="39" customWidth="1"/>
    <col min="8458" max="8458" width="35" customWidth="1"/>
    <col min="8459" max="8459" width="33" customWidth="1"/>
    <col min="8460" max="8460" width="32.5703125" customWidth="1"/>
    <col min="8461" max="8461" width="5.140625" customWidth="1"/>
    <col min="8462" max="8462" width="30.7109375" customWidth="1"/>
    <col min="8463" max="8463" width="29" customWidth="1"/>
    <col min="8464" max="8464" width="42.42578125" customWidth="1"/>
    <col min="8465" max="8465" width="7" customWidth="1"/>
    <col min="8466" max="8466" width="28.5703125" customWidth="1"/>
    <col min="8467" max="8467" width="30.140625" customWidth="1"/>
    <col min="8468" max="8468" width="24.42578125" customWidth="1"/>
    <col min="8705" max="8712" width="4.85546875" customWidth="1"/>
    <col min="8713" max="8713" width="39" customWidth="1"/>
    <col min="8714" max="8714" width="35" customWidth="1"/>
    <col min="8715" max="8715" width="33" customWidth="1"/>
    <col min="8716" max="8716" width="32.5703125" customWidth="1"/>
    <col min="8717" max="8717" width="5.140625" customWidth="1"/>
    <col min="8718" max="8718" width="30.7109375" customWidth="1"/>
    <col min="8719" max="8719" width="29" customWidth="1"/>
    <col min="8720" max="8720" width="42.42578125" customWidth="1"/>
    <col min="8721" max="8721" width="7" customWidth="1"/>
    <col min="8722" max="8722" width="28.5703125" customWidth="1"/>
    <col min="8723" max="8723" width="30.140625" customWidth="1"/>
    <col min="8724" max="8724" width="24.42578125" customWidth="1"/>
    <col min="8961" max="8968" width="4.85546875" customWidth="1"/>
    <col min="8969" max="8969" width="39" customWidth="1"/>
    <col min="8970" max="8970" width="35" customWidth="1"/>
    <col min="8971" max="8971" width="33" customWidth="1"/>
    <col min="8972" max="8972" width="32.5703125" customWidth="1"/>
    <col min="8973" max="8973" width="5.140625" customWidth="1"/>
    <col min="8974" max="8974" width="30.7109375" customWidth="1"/>
    <col min="8975" max="8975" width="29" customWidth="1"/>
    <col min="8976" max="8976" width="42.42578125" customWidth="1"/>
    <col min="8977" max="8977" width="7" customWidth="1"/>
    <col min="8978" max="8978" width="28.5703125" customWidth="1"/>
    <col min="8979" max="8979" width="30.140625" customWidth="1"/>
    <col min="8980" max="8980" width="24.42578125" customWidth="1"/>
    <col min="9217" max="9224" width="4.85546875" customWidth="1"/>
    <col min="9225" max="9225" width="39" customWidth="1"/>
    <col min="9226" max="9226" width="35" customWidth="1"/>
    <col min="9227" max="9227" width="33" customWidth="1"/>
    <col min="9228" max="9228" width="32.5703125" customWidth="1"/>
    <col min="9229" max="9229" width="5.140625" customWidth="1"/>
    <col min="9230" max="9230" width="30.7109375" customWidth="1"/>
    <col min="9231" max="9231" width="29" customWidth="1"/>
    <col min="9232" max="9232" width="42.42578125" customWidth="1"/>
    <col min="9233" max="9233" width="7" customWidth="1"/>
    <col min="9234" max="9234" width="28.5703125" customWidth="1"/>
    <col min="9235" max="9235" width="30.140625" customWidth="1"/>
    <col min="9236" max="9236" width="24.42578125" customWidth="1"/>
    <col min="9473" max="9480" width="4.85546875" customWidth="1"/>
    <col min="9481" max="9481" width="39" customWidth="1"/>
    <col min="9482" max="9482" width="35" customWidth="1"/>
    <col min="9483" max="9483" width="33" customWidth="1"/>
    <col min="9484" max="9484" width="32.5703125" customWidth="1"/>
    <col min="9485" max="9485" width="5.140625" customWidth="1"/>
    <col min="9486" max="9486" width="30.7109375" customWidth="1"/>
    <col min="9487" max="9487" width="29" customWidth="1"/>
    <col min="9488" max="9488" width="42.42578125" customWidth="1"/>
    <col min="9489" max="9489" width="7" customWidth="1"/>
    <col min="9490" max="9490" width="28.5703125" customWidth="1"/>
    <col min="9491" max="9491" width="30.140625" customWidth="1"/>
    <col min="9492" max="9492" width="24.42578125" customWidth="1"/>
    <col min="9729" max="9736" width="4.85546875" customWidth="1"/>
    <col min="9737" max="9737" width="39" customWidth="1"/>
    <col min="9738" max="9738" width="35" customWidth="1"/>
    <col min="9739" max="9739" width="33" customWidth="1"/>
    <col min="9740" max="9740" width="32.5703125" customWidth="1"/>
    <col min="9741" max="9741" width="5.140625" customWidth="1"/>
    <col min="9742" max="9742" width="30.7109375" customWidth="1"/>
    <col min="9743" max="9743" width="29" customWidth="1"/>
    <col min="9744" max="9744" width="42.42578125" customWidth="1"/>
    <col min="9745" max="9745" width="7" customWidth="1"/>
    <col min="9746" max="9746" width="28.5703125" customWidth="1"/>
    <col min="9747" max="9747" width="30.140625" customWidth="1"/>
    <col min="9748" max="9748" width="24.42578125" customWidth="1"/>
    <col min="9985" max="9992" width="4.85546875" customWidth="1"/>
    <col min="9993" max="9993" width="39" customWidth="1"/>
    <col min="9994" max="9994" width="35" customWidth="1"/>
    <col min="9995" max="9995" width="33" customWidth="1"/>
    <col min="9996" max="9996" width="32.5703125" customWidth="1"/>
    <col min="9997" max="9997" width="5.140625" customWidth="1"/>
    <col min="9998" max="9998" width="30.7109375" customWidth="1"/>
    <col min="9999" max="9999" width="29" customWidth="1"/>
    <col min="10000" max="10000" width="42.42578125" customWidth="1"/>
    <col min="10001" max="10001" width="7" customWidth="1"/>
    <col min="10002" max="10002" width="28.5703125" customWidth="1"/>
    <col min="10003" max="10003" width="30.140625" customWidth="1"/>
    <col min="10004" max="10004" width="24.42578125" customWidth="1"/>
    <col min="10241" max="10248" width="4.85546875" customWidth="1"/>
    <col min="10249" max="10249" width="39" customWidth="1"/>
    <col min="10250" max="10250" width="35" customWidth="1"/>
    <col min="10251" max="10251" width="33" customWidth="1"/>
    <col min="10252" max="10252" width="32.5703125" customWidth="1"/>
    <col min="10253" max="10253" width="5.140625" customWidth="1"/>
    <col min="10254" max="10254" width="30.7109375" customWidth="1"/>
    <col min="10255" max="10255" width="29" customWidth="1"/>
    <col min="10256" max="10256" width="42.42578125" customWidth="1"/>
    <col min="10257" max="10257" width="7" customWidth="1"/>
    <col min="10258" max="10258" width="28.5703125" customWidth="1"/>
    <col min="10259" max="10259" width="30.140625" customWidth="1"/>
    <col min="10260" max="10260" width="24.42578125" customWidth="1"/>
    <col min="10497" max="10504" width="4.85546875" customWidth="1"/>
    <col min="10505" max="10505" width="39" customWidth="1"/>
    <col min="10506" max="10506" width="35" customWidth="1"/>
    <col min="10507" max="10507" width="33" customWidth="1"/>
    <col min="10508" max="10508" width="32.5703125" customWidth="1"/>
    <col min="10509" max="10509" width="5.140625" customWidth="1"/>
    <col min="10510" max="10510" width="30.7109375" customWidth="1"/>
    <col min="10511" max="10511" width="29" customWidth="1"/>
    <col min="10512" max="10512" width="42.42578125" customWidth="1"/>
    <col min="10513" max="10513" width="7" customWidth="1"/>
    <col min="10514" max="10514" width="28.5703125" customWidth="1"/>
    <col min="10515" max="10515" width="30.140625" customWidth="1"/>
    <col min="10516" max="10516" width="24.42578125" customWidth="1"/>
    <col min="10753" max="10760" width="4.85546875" customWidth="1"/>
    <col min="10761" max="10761" width="39" customWidth="1"/>
    <col min="10762" max="10762" width="35" customWidth="1"/>
    <col min="10763" max="10763" width="33" customWidth="1"/>
    <col min="10764" max="10764" width="32.5703125" customWidth="1"/>
    <col min="10765" max="10765" width="5.140625" customWidth="1"/>
    <col min="10766" max="10766" width="30.7109375" customWidth="1"/>
    <col min="10767" max="10767" width="29" customWidth="1"/>
    <col min="10768" max="10768" width="42.42578125" customWidth="1"/>
    <col min="10769" max="10769" width="7" customWidth="1"/>
    <col min="10770" max="10770" width="28.5703125" customWidth="1"/>
    <col min="10771" max="10771" width="30.140625" customWidth="1"/>
    <col min="10772" max="10772" width="24.42578125" customWidth="1"/>
    <col min="11009" max="11016" width="4.85546875" customWidth="1"/>
    <col min="11017" max="11017" width="39" customWidth="1"/>
    <col min="11018" max="11018" width="35" customWidth="1"/>
    <col min="11019" max="11019" width="33" customWidth="1"/>
    <col min="11020" max="11020" width="32.5703125" customWidth="1"/>
    <col min="11021" max="11021" width="5.140625" customWidth="1"/>
    <col min="11022" max="11022" width="30.7109375" customWidth="1"/>
    <col min="11023" max="11023" width="29" customWidth="1"/>
    <col min="11024" max="11024" width="42.42578125" customWidth="1"/>
    <col min="11025" max="11025" width="7" customWidth="1"/>
    <col min="11026" max="11026" width="28.5703125" customWidth="1"/>
    <col min="11027" max="11027" width="30.140625" customWidth="1"/>
    <col min="11028" max="11028" width="24.42578125" customWidth="1"/>
    <col min="11265" max="11272" width="4.85546875" customWidth="1"/>
    <col min="11273" max="11273" width="39" customWidth="1"/>
    <col min="11274" max="11274" width="35" customWidth="1"/>
    <col min="11275" max="11275" width="33" customWidth="1"/>
    <col min="11276" max="11276" width="32.5703125" customWidth="1"/>
    <col min="11277" max="11277" width="5.140625" customWidth="1"/>
    <col min="11278" max="11278" width="30.7109375" customWidth="1"/>
    <col min="11279" max="11279" width="29" customWidth="1"/>
    <col min="11280" max="11280" width="42.42578125" customWidth="1"/>
    <col min="11281" max="11281" width="7" customWidth="1"/>
    <col min="11282" max="11282" width="28.5703125" customWidth="1"/>
    <col min="11283" max="11283" width="30.140625" customWidth="1"/>
    <col min="11284" max="11284" width="24.42578125" customWidth="1"/>
    <col min="11521" max="11528" width="4.85546875" customWidth="1"/>
    <col min="11529" max="11529" width="39" customWidth="1"/>
    <col min="11530" max="11530" width="35" customWidth="1"/>
    <col min="11531" max="11531" width="33" customWidth="1"/>
    <col min="11532" max="11532" width="32.5703125" customWidth="1"/>
    <col min="11533" max="11533" width="5.140625" customWidth="1"/>
    <col min="11534" max="11534" width="30.7109375" customWidth="1"/>
    <col min="11535" max="11535" width="29" customWidth="1"/>
    <col min="11536" max="11536" width="42.42578125" customWidth="1"/>
    <col min="11537" max="11537" width="7" customWidth="1"/>
    <col min="11538" max="11538" width="28.5703125" customWidth="1"/>
    <col min="11539" max="11539" width="30.140625" customWidth="1"/>
    <col min="11540" max="11540" width="24.42578125" customWidth="1"/>
    <col min="11777" max="11784" width="4.85546875" customWidth="1"/>
    <col min="11785" max="11785" width="39" customWidth="1"/>
    <col min="11786" max="11786" width="35" customWidth="1"/>
    <col min="11787" max="11787" width="33" customWidth="1"/>
    <col min="11788" max="11788" width="32.5703125" customWidth="1"/>
    <col min="11789" max="11789" width="5.140625" customWidth="1"/>
    <col min="11790" max="11790" width="30.7109375" customWidth="1"/>
    <col min="11791" max="11791" width="29" customWidth="1"/>
    <col min="11792" max="11792" width="42.42578125" customWidth="1"/>
    <col min="11793" max="11793" width="7" customWidth="1"/>
    <col min="11794" max="11794" width="28.5703125" customWidth="1"/>
    <col min="11795" max="11795" width="30.140625" customWidth="1"/>
    <col min="11796" max="11796" width="24.42578125" customWidth="1"/>
    <col min="12033" max="12040" width="4.85546875" customWidth="1"/>
    <col min="12041" max="12041" width="39" customWidth="1"/>
    <col min="12042" max="12042" width="35" customWidth="1"/>
    <col min="12043" max="12043" width="33" customWidth="1"/>
    <col min="12044" max="12044" width="32.5703125" customWidth="1"/>
    <col min="12045" max="12045" width="5.140625" customWidth="1"/>
    <col min="12046" max="12046" width="30.7109375" customWidth="1"/>
    <col min="12047" max="12047" width="29" customWidth="1"/>
    <col min="12048" max="12048" width="42.42578125" customWidth="1"/>
    <col min="12049" max="12049" width="7" customWidth="1"/>
    <col min="12050" max="12050" width="28.5703125" customWidth="1"/>
    <col min="12051" max="12051" width="30.140625" customWidth="1"/>
    <col min="12052" max="12052" width="24.42578125" customWidth="1"/>
    <col min="12289" max="12296" width="4.85546875" customWidth="1"/>
    <col min="12297" max="12297" width="39" customWidth="1"/>
    <col min="12298" max="12298" width="35" customWidth="1"/>
    <col min="12299" max="12299" width="33" customWidth="1"/>
    <col min="12300" max="12300" width="32.5703125" customWidth="1"/>
    <col min="12301" max="12301" width="5.140625" customWidth="1"/>
    <col min="12302" max="12302" width="30.7109375" customWidth="1"/>
    <col min="12303" max="12303" width="29" customWidth="1"/>
    <col min="12304" max="12304" width="42.42578125" customWidth="1"/>
    <col min="12305" max="12305" width="7" customWidth="1"/>
    <col min="12306" max="12306" width="28.5703125" customWidth="1"/>
    <col min="12307" max="12307" width="30.140625" customWidth="1"/>
    <col min="12308" max="12308" width="24.42578125" customWidth="1"/>
    <col min="12545" max="12552" width="4.85546875" customWidth="1"/>
    <col min="12553" max="12553" width="39" customWidth="1"/>
    <col min="12554" max="12554" width="35" customWidth="1"/>
    <col min="12555" max="12555" width="33" customWidth="1"/>
    <col min="12556" max="12556" width="32.5703125" customWidth="1"/>
    <col min="12557" max="12557" width="5.140625" customWidth="1"/>
    <col min="12558" max="12558" width="30.7109375" customWidth="1"/>
    <col min="12559" max="12559" width="29" customWidth="1"/>
    <col min="12560" max="12560" width="42.42578125" customWidth="1"/>
    <col min="12561" max="12561" width="7" customWidth="1"/>
    <col min="12562" max="12562" width="28.5703125" customWidth="1"/>
    <col min="12563" max="12563" width="30.140625" customWidth="1"/>
    <col min="12564" max="12564" width="24.42578125" customWidth="1"/>
    <col min="12801" max="12808" width="4.85546875" customWidth="1"/>
    <col min="12809" max="12809" width="39" customWidth="1"/>
    <col min="12810" max="12810" width="35" customWidth="1"/>
    <col min="12811" max="12811" width="33" customWidth="1"/>
    <col min="12812" max="12812" width="32.5703125" customWidth="1"/>
    <col min="12813" max="12813" width="5.140625" customWidth="1"/>
    <col min="12814" max="12814" width="30.7109375" customWidth="1"/>
    <col min="12815" max="12815" width="29" customWidth="1"/>
    <col min="12816" max="12816" width="42.42578125" customWidth="1"/>
    <col min="12817" max="12817" width="7" customWidth="1"/>
    <col min="12818" max="12818" width="28.5703125" customWidth="1"/>
    <col min="12819" max="12819" width="30.140625" customWidth="1"/>
    <col min="12820" max="12820" width="24.42578125" customWidth="1"/>
    <col min="13057" max="13064" width="4.85546875" customWidth="1"/>
    <col min="13065" max="13065" width="39" customWidth="1"/>
    <col min="13066" max="13066" width="35" customWidth="1"/>
    <col min="13067" max="13067" width="33" customWidth="1"/>
    <col min="13068" max="13068" width="32.5703125" customWidth="1"/>
    <col min="13069" max="13069" width="5.140625" customWidth="1"/>
    <col min="13070" max="13070" width="30.7109375" customWidth="1"/>
    <col min="13071" max="13071" width="29" customWidth="1"/>
    <col min="13072" max="13072" width="42.42578125" customWidth="1"/>
    <col min="13073" max="13073" width="7" customWidth="1"/>
    <col min="13074" max="13074" width="28.5703125" customWidth="1"/>
    <col min="13075" max="13075" width="30.140625" customWidth="1"/>
    <col min="13076" max="13076" width="24.42578125" customWidth="1"/>
    <col min="13313" max="13320" width="4.85546875" customWidth="1"/>
    <col min="13321" max="13321" width="39" customWidth="1"/>
    <col min="13322" max="13322" width="35" customWidth="1"/>
    <col min="13323" max="13323" width="33" customWidth="1"/>
    <col min="13324" max="13324" width="32.5703125" customWidth="1"/>
    <col min="13325" max="13325" width="5.140625" customWidth="1"/>
    <col min="13326" max="13326" width="30.7109375" customWidth="1"/>
    <col min="13327" max="13327" width="29" customWidth="1"/>
    <col min="13328" max="13328" width="42.42578125" customWidth="1"/>
    <col min="13329" max="13329" width="7" customWidth="1"/>
    <col min="13330" max="13330" width="28.5703125" customWidth="1"/>
    <col min="13331" max="13331" width="30.140625" customWidth="1"/>
    <col min="13332" max="13332" width="24.42578125" customWidth="1"/>
    <col min="13569" max="13576" width="4.85546875" customWidth="1"/>
    <col min="13577" max="13577" width="39" customWidth="1"/>
    <col min="13578" max="13578" width="35" customWidth="1"/>
    <col min="13579" max="13579" width="33" customWidth="1"/>
    <col min="13580" max="13580" width="32.5703125" customWidth="1"/>
    <col min="13581" max="13581" width="5.140625" customWidth="1"/>
    <col min="13582" max="13582" width="30.7109375" customWidth="1"/>
    <col min="13583" max="13583" width="29" customWidth="1"/>
    <col min="13584" max="13584" width="42.42578125" customWidth="1"/>
    <col min="13585" max="13585" width="7" customWidth="1"/>
    <col min="13586" max="13586" width="28.5703125" customWidth="1"/>
    <col min="13587" max="13587" width="30.140625" customWidth="1"/>
    <col min="13588" max="13588" width="24.42578125" customWidth="1"/>
    <col min="13825" max="13832" width="4.85546875" customWidth="1"/>
    <col min="13833" max="13833" width="39" customWidth="1"/>
    <col min="13834" max="13834" width="35" customWidth="1"/>
    <col min="13835" max="13835" width="33" customWidth="1"/>
    <col min="13836" max="13836" width="32.5703125" customWidth="1"/>
    <col min="13837" max="13837" width="5.140625" customWidth="1"/>
    <col min="13838" max="13838" width="30.7109375" customWidth="1"/>
    <col min="13839" max="13839" width="29" customWidth="1"/>
    <col min="13840" max="13840" width="42.42578125" customWidth="1"/>
    <col min="13841" max="13841" width="7" customWidth="1"/>
    <col min="13842" max="13842" width="28.5703125" customWidth="1"/>
    <col min="13843" max="13843" width="30.140625" customWidth="1"/>
    <col min="13844" max="13844" width="24.42578125" customWidth="1"/>
    <col min="14081" max="14088" width="4.85546875" customWidth="1"/>
    <col min="14089" max="14089" width="39" customWidth="1"/>
    <col min="14090" max="14090" width="35" customWidth="1"/>
    <col min="14091" max="14091" width="33" customWidth="1"/>
    <col min="14092" max="14092" width="32.5703125" customWidth="1"/>
    <col min="14093" max="14093" width="5.140625" customWidth="1"/>
    <col min="14094" max="14094" width="30.7109375" customWidth="1"/>
    <col min="14095" max="14095" width="29" customWidth="1"/>
    <col min="14096" max="14096" width="42.42578125" customWidth="1"/>
    <col min="14097" max="14097" width="7" customWidth="1"/>
    <col min="14098" max="14098" width="28.5703125" customWidth="1"/>
    <col min="14099" max="14099" width="30.140625" customWidth="1"/>
    <col min="14100" max="14100" width="24.42578125" customWidth="1"/>
    <col min="14337" max="14344" width="4.85546875" customWidth="1"/>
    <col min="14345" max="14345" width="39" customWidth="1"/>
    <col min="14346" max="14346" width="35" customWidth="1"/>
    <col min="14347" max="14347" width="33" customWidth="1"/>
    <col min="14348" max="14348" width="32.5703125" customWidth="1"/>
    <col min="14349" max="14349" width="5.140625" customWidth="1"/>
    <col min="14350" max="14350" width="30.7109375" customWidth="1"/>
    <col min="14351" max="14351" width="29" customWidth="1"/>
    <col min="14352" max="14352" width="42.42578125" customWidth="1"/>
    <col min="14353" max="14353" width="7" customWidth="1"/>
    <col min="14354" max="14354" width="28.5703125" customWidth="1"/>
    <col min="14355" max="14355" width="30.140625" customWidth="1"/>
    <col min="14356" max="14356" width="24.42578125" customWidth="1"/>
    <col min="14593" max="14600" width="4.85546875" customWidth="1"/>
    <col min="14601" max="14601" width="39" customWidth="1"/>
    <col min="14602" max="14602" width="35" customWidth="1"/>
    <col min="14603" max="14603" width="33" customWidth="1"/>
    <col min="14604" max="14604" width="32.5703125" customWidth="1"/>
    <col min="14605" max="14605" width="5.140625" customWidth="1"/>
    <col min="14606" max="14606" width="30.7109375" customWidth="1"/>
    <col min="14607" max="14607" width="29" customWidth="1"/>
    <col min="14608" max="14608" width="42.42578125" customWidth="1"/>
    <col min="14609" max="14609" width="7" customWidth="1"/>
    <col min="14610" max="14610" width="28.5703125" customWidth="1"/>
    <col min="14611" max="14611" width="30.140625" customWidth="1"/>
    <col min="14612" max="14612" width="24.42578125" customWidth="1"/>
    <col min="14849" max="14856" width="4.85546875" customWidth="1"/>
    <col min="14857" max="14857" width="39" customWidth="1"/>
    <col min="14858" max="14858" width="35" customWidth="1"/>
    <col min="14859" max="14859" width="33" customWidth="1"/>
    <col min="14860" max="14860" width="32.5703125" customWidth="1"/>
    <col min="14861" max="14861" width="5.140625" customWidth="1"/>
    <col min="14862" max="14862" width="30.7109375" customWidth="1"/>
    <col min="14863" max="14863" width="29" customWidth="1"/>
    <col min="14864" max="14864" width="42.42578125" customWidth="1"/>
    <col min="14865" max="14865" width="7" customWidth="1"/>
    <col min="14866" max="14866" width="28.5703125" customWidth="1"/>
    <col min="14867" max="14867" width="30.140625" customWidth="1"/>
    <col min="14868" max="14868" width="24.42578125" customWidth="1"/>
    <col min="15105" max="15112" width="4.85546875" customWidth="1"/>
    <col min="15113" max="15113" width="39" customWidth="1"/>
    <col min="15114" max="15114" width="35" customWidth="1"/>
    <col min="15115" max="15115" width="33" customWidth="1"/>
    <col min="15116" max="15116" width="32.5703125" customWidth="1"/>
    <col min="15117" max="15117" width="5.140625" customWidth="1"/>
    <col min="15118" max="15118" width="30.7109375" customWidth="1"/>
    <col min="15119" max="15119" width="29" customWidth="1"/>
    <col min="15120" max="15120" width="42.42578125" customWidth="1"/>
    <col min="15121" max="15121" width="7" customWidth="1"/>
    <col min="15122" max="15122" width="28.5703125" customWidth="1"/>
    <col min="15123" max="15123" width="30.140625" customWidth="1"/>
    <col min="15124" max="15124" width="24.42578125" customWidth="1"/>
    <col min="15361" max="15368" width="4.85546875" customWidth="1"/>
    <col min="15369" max="15369" width="39" customWidth="1"/>
    <col min="15370" max="15370" width="35" customWidth="1"/>
    <col min="15371" max="15371" width="33" customWidth="1"/>
    <col min="15372" max="15372" width="32.5703125" customWidth="1"/>
    <col min="15373" max="15373" width="5.140625" customWidth="1"/>
    <col min="15374" max="15374" width="30.7109375" customWidth="1"/>
    <col min="15375" max="15375" width="29" customWidth="1"/>
    <col min="15376" max="15376" width="42.42578125" customWidth="1"/>
    <col min="15377" max="15377" width="7" customWidth="1"/>
    <col min="15378" max="15378" width="28.5703125" customWidth="1"/>
    <col min="15379" max="15379" width="30.140625" customWidth="1"/>
    <col min="15380" max="15380" width="24.42578125" customWidth="1"/>
    <col min="15617" max="15624" width="4.85546875" customWidth="1"/>
    <col min="15625" max="15625" width="39" customWidth="1"/>
    <col min="15626" max="15626" width="35" customWidth="1"/>
    <col min="15627" max="15627" width="33" customWidth="1"/>
    <col min="15628" max="15628" width="32.5703125" customWidth="1"/>
    <col min="15629" max="15629" width="5.140625" customWidth="1"/>
    <col min="15630" max="15630" width="30.7109375" customWidth="1"/>
    <col min="15631" max="15631" width="29" customWidth="1"/>
    <col min="15632" max="15632" width="42.42578125" customWidth="1"/>
    <col min="15633" max="15633" width="7" customWidth="1"/>
    <col min="15634" max="15634" width="28.5703125" customWidth="1"/>
    <col min="15635" max="15635" width="30.140625" customWidth="1"/>
    <col min="15636" max="15636" width="24.42578125" customWidth="1"/>
    <col min="15873" max="15880" width="4.85546875" customWidth="1"/>
    <col min="15881" max="15881" width="39" customWidth="1"/>
    <col min="15882" max="15882" width="35" customWidth="1"/>
    <col min="15883" max="15883" width="33" customWidth="1"/>
    <col min="15884" max="15884" width="32.5703125" customWidth="1"/>
    <col min="15885" max="15885" width="5.140625" customWidth="1"/>
    <col min="15886" max="15886" width="30.7109375" customWidth="1"/>
    <col min="15887" max="15887" width="29" customWidth="1"/>
    <col min="15888" max="15888" width="42.42578125" customWidth="1"/>
    <col min="15889" max="15889" width="7" customWidth="1"/>
    <col min="15890" max="15890" width="28.5703125" customWidth="1"/>
    <col min="15891" max="15891" width="30.140625" customWidth="1"/>
    <col min="15892" max="15892" width="24.42578125" customWidth="1"/>
    <col min="16129" max="16136" width="4.85546875" customWidth="1"/>
    <col min="16137" max="16137" width="39" customWidth="1"/>
    <col min="16138" max="16138" width="35" customWidth="1"/>
    <col min="16139" max="16139" width="33" customWidth="1"/>
    <col min="16140" max="16140" width="32.5703125" customWidth="1"/>
    <col min="16141" max="16141" width="5.140625" customWidth="1"/>
    <col min="16142" max="16142" width="30.7109375" customWidth="1"/>
    <col min="16143" max="16143" width="29" customWidth="1"/>
    <col min="16144" max="16144" width="42.42578125" customWidth="1"/>
    <col min="16145" max="16145" width="7" customWidth="1"/>
    <col min="16146" max="16146" width="28.5703125" customWidth="1"/>
    <col min="16147" max="16147" width="30.140625" customWidth="1"/>
    <col min="16148" max="16148" width="24.42578125" customWidth="1"/>
  </cols>
  <sheetData>
    <row r="1" spans="1:23" ht="25.5" customHeight="1" x14ac:dyDescent="0.5">
      <c r="A1" s="836" t="s">
        <v>1602</v>
      </c>
      <c r="B1" s="836"/>
      <c r="C1" s="836"/>
      <c r="D1" s="836"/>
      <c r="E1" s="836"/>
      <c r="F1" s="836"/>
      <c r="G1" s="836"/>
      <c r="H1" s="836"/>
      <c r="I1" s="836"/>
      <c r="J1" s="835" t="s">
        <v>311</v>
      </c>
      <c r="K1" s="835"/>
      <c r="L1" s="685"/>
      <c r="M1" s="96"/>
      <c r="N1" s="839" t="s">
        <v>315</v>
      </c>
      <c r="O1" s="839"/>
      <c r="P1" s="839"/>
      <c r="R1" s="840" t="s">
        <v>434</v>
      </c>
      <c r="S1" s="841"/>
      <c r="T1" s="108"/>
      <c r="V1" s="838" t="s">
        <v>312</v>
      </c>
      <c r="W1" s="838"/>
    </row>
    <row r="2" spans="1:23" ht="40.5" customHeight="1" x14ac:dyDescent="0.35">
      <c r="A2" s="837" t="s">
        <v>255</v>
      </c>
      <c r="B2" s="837"/>
      <c r="C2" s="837"/>
      <c r="D2" s="837"/>
      <c r="E2" s="837"/>
      <c r="F2" s="837"/>
      <c r="G2" s="837"/>
      <c r="H2" s="837"/>
      <c r="I2" s="837"/>
      <c r="J2" s="111" t="s">
        <v>229</v>
      </c>
      <c r="K2" s="111" t="s">
        <v>230</v>
      </c>
      <c r="L2" s="111" t="s">
        <v>231</v>
      </c>
      <c r="M2" s="95"/>
      <c r="N2" s="94" t="s">
        <v>229</v>
      </c>
      <c r="O2" s="94" t="s">
        <v>230</v>
      </c>
      <c r="P2" s="94" t="s">
        <v>231</v>
      </c>
      <c r="Q2" s="116"/>
      <c r="R2" s="107" t="s">
        <v>229</v>
      </c>
      <c r="S2" s="107" t="s">
        <v>230</v>
      </c>
      <c r="T2" s="106" t="s">
        <v>231</v>
      </c>
      <c r="V2" s="97" t="s">
        <v>229</v>
      </c>
      <c r="W2" s="97" t="s">
        <v>230</v>
      </c>
    </row>
    <row r="3" spans="1:23" ht="46.15" customHeight="1" x14ac:dyDescent="0.35">
      <c r="A3" s="38">
        <v>2</v>
      </c>
      <c r="B3" s="38">
        <v>0</v>
      </c>
      <c r="C3" s="38">
        <v>4</v>
      </c>
      <c r="D3" s="38">
        <v>11</v>
      </c>
      <c r="E3" s="38">
        <v>2</v>
      </c>
      <c r="F3" s="38" t="s">
        <v>147</v>
      </c>
      <c r="G3" s="25">
        <v>10</v>
      </c>
      <c r="H3" s="25" t="s">
        <v>88</v>
      </c>
      <c r="I3" s="42" t="s">
        <v>402</v>
      </c>
      <c r="J3" s="112">
        <v>10000000</v>
      </c>
      <c r="K3" s="112"/>
      <c r="L3" s="177"/>
      <c r="M3" s="113"/>
      <c r="N3" s="52"/>
      <c r="O3" s="52"/>
      <c r="P3" s="114"/>
      <c r="Q3" s="117"/>
      <c r="R3" s="52"/>
      <c r="S3" s="52"/>
      <c r="T3" s="115"/>
      <c r="V3" s="98"/>
      <c r="W3" s="99"/>
    </row>
    <row r="4" spans="1:23" ht="57.6" customHeight="1" x14ac:dyDescent="0.3">
      <c r="A4" s="38">
        <v>2</v>
      </c>
      <c r="B4" s="38">
        <v>0</v>
      </c>
      <c r="C4" s="38">
        <v>4</v>
      </c>
      <c r="D4" s="38">
        <v>5</v>
      </c>
      <c r="E4" s="38">
        <v>8</v>
      </c>
      <c r="F4" s="38" t="s">
        <v>147</v>
      </c>
      <c r="G4" s="25">
        <v>10</v>
      </c>
      <c r="H4" s="25" t="s">
        <v>88</v>
      </c>
      <c r="I4" s="42" t="s">
        <v>133</v>
      </c>
      <c r="J4" s="722"/>
      <c r="K4" s="722">
        <v>10000000</v>
      </c>
    </row>
    <row r="5" spans="1:23" ht="41.25" customHeight="1" x14ac:dyDescent="0.45">
      <c r="I5" s="42" t="s">
        <v>1502</v>
      </c>
      <c r="J5" s="112">
        <f>SUM(J3:J4)</f>
        <v>10000000</v>
      </c>
      <c r="K5" s="112">
        <f>SUM(K3:K4)</f>
        <v>10000000</v>
      </c>
    </row>
  </sheetData>
  <mergeCells count="6">
    <mergeCell ref="J1:K1"/>
    <mergeCell ref="A1:I1"/>
    <mergeCell ref="A2:I2"/>
    <mergeCell ref="V1:W1"/>
    <mergeCell ref="N1:P1"/>
    <mergeCell ref="R1:S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Q41"/>
  <sheetViews>
    <sheetView showGridLines="0" zoomScale="66" zoomScaleNormal="66" zoomScaleSheetLayoutView="53" zoomScalePageLayoutView="50" workbookViewId="0">
      <pane xSplit="10" ySplit="5" topLeftCell="K6" activePane="bottomRight" state="frozen"/>
      <selection pane="topRight" activeCell="K1" sqref="K1"/>
      <selection pane="bottomLeft" activeCell="A6" sqref="A6"/>
      <selection pane="bottomRight" activeCell="N7" sqref="N7:O7"/>
    </sheetView>
  </sheetViews>
  <sheetFormatPr baseColWidth="10" defaultColWidth="11.42578125" defaultRowHeight="15" x14ac:dyDescent="0.25"/>
  <cols>
    <col min="1" max="2" width="3.85546875" style="10" customWidth="1"/>
    <col min="3" max="3" width="5.42578125" style="10" customWidth="1"/>
    <col min="4" max="9" width="3.85546875" style="10" customWidth="1"/>
    <col min="10" max="10" width="39.42578125" style="10" customWidth="1"/>
    <col min="11" max="13" width="28" style="10" customWidth="1"/>
    <col min="14" max="14" width="26.85546875" style="10" customWidth="1"/>
    <col min="15" max="15" width="29.28515625" style="10" customWidth="1"/>
    <col min="16" max="16" width="23" style="10" customWidth="1"/>
    <col min="17" max="17" width="26.85546875" style="10" customWidth="1"/>
    <col min="18" max="16384" width="11.42578125" style="10"/>
  </cols>
  <sheetData>
    <row r="1" spans="1:17" ht="18" customHeight="1" x14ac:dyDescent="0.25">
      <c r="A1" s="842" t="s">
        <v>113</v>
      </c>
      <c r="B1" s="842"/>
      <c r="C1" s="842"/>
      <c r="D1" s="842"/>
      <c r="E1" s="842"/>
      <c r="F1" s="842"/>
      <c r="G1" s="842"/>
      <c r="H1" s="842"/>
      <c r="I1" s="842"/>
      <c r="J1" s="842"/>
      <c r="K1" s="842"/>
      <c r="L1" s="842"/>
      <c r="M1" s="842"/>
      <c r="N1" s="842"/>
      <c r="O1" s="842"/>
      <c r="P1" s="842"/>
      <c r="Q1" s="842"/>
    </row>
    <row r="2" spans="1:17" ht="25.5" customHeight="1" x14ac:dyDescent="0.5">
      <c r="A2" s="843" t="s">
        <v>220</v>
      </c>
      <c r="B2" s="843"/>
      <c r="C2" s="843"/>
      <c r="D2" s="843"/>
      <c r="E2" s="843"/>
      <c r="F2" s="843"/>
      <c r="G2" s="843"/>
      <c r="H2" s="843"/>
      <c r="I2" s="843"/>
      <c r="J2" s="843"/>
      <c r="K2" s="843"/>
      <c r="L2" s="843"/>
      <c r="M2" s="843"/>
      <c r="N2" s="843"/>
      <c r="O2" s="843"/>
      <c r="P2" s="843"/>
      <c r="Q2" s="843"/>
    </row>
    <row r="3" spans="1:17" ht="36.75" customHeight="1" x14ac:dyDescent="0.65">
      <c r="A3" s="22"/>
      <c r="B3" s="844"/>
      <c r="C3" s="844"/>
      <c r="D3" s="844"/>
      <c r="E3" s="844"/>
      <c r="F3" s="844"/>
      <c r="G3" s="844"/>
      <c r="H3" s="844"/>
      <c r="I3" s="844"/>
      <c r="J3" s="60"/>
      <c r="K3" s="71">
        <f t="shared" ref="K3:Q3" si="0">SUM(K9+K17+K26+K32+K38+K41)</f>
        <v>48627718.049999997</v>
      </c>
      <c r="L3" s="71">
        <f t="shared" si="0"/>
        <v>52760000</v>
      </c>
      <c r="M3" s="71">
        <f t="shared" si="0"/>
        <v>4132281.9499999993</v>
      </c>
      <c r="N3" s="71">
        <f t="shared" si="0"/>
        <v>12000000</v>
      </c>
      <c r="O3" s="71">
        <f t="shared" si="0"/>
        <v>52760000</v>
      </c>
      <c r="P3" s="71">
        <f t="shared" si="0"/>
        <v>0</v>
      </c>
      <c r="Q3" s="71">
        <f t="shared" si="0"/>
        <v>52760000</v>
      </c>
    </row>
    <row r="4" spans="1:17" ht="51.75" customHeight="1" x14ac:dyDescent="0.25">
      <c r="A4" s="23" t="s">
        <v>87</v>
      </c>
      <c r="B4" s="57" t="s">
        <v>87</v>
      </c>
      <c r="C4" s="57" t="s">
        <v>87</v>
      </c>
      <c r="D4" s="57" t="s">
        <v>87</v>
      </c>
      <c r="E4" s="57" t="s">
        <v>87</v>
      </c>
      <c r="F4" s="57" t="s">
        <v>87</v>
      </c>
      <c r="G4" s="57" t="s">
        <v>87</v>
      </c>
      <c r="H4" s="57" t="s">
        <v>87</v>
      </c>
      <c r="I4" s="57" t="s">
        <v>87</v>
      </c>
      <c r="J4" s="58" t="s">
        <v>87</v>
      </c>
      <c r="K4" s="846" t="s">
        <v>221</v>
      </c>
      <c r="L4" s="845" t="s">
        <v>222</v>
      </c>
      <c r="M4" s="847" t="s">
        <v>223</v>
      </c>
      <c r="N4" s="848" t="s">
        <v>222</v>
      </c>
      <c r="O4" s="849"/>
      <c r="P4" s="849"/>
      <c r="Q4" s="849"/>
    </row>
    <row r="5" spans="1:17" ht="72.75" customHeight="1" x14ac:dyDescent="0.25">
      <c r="A5" s="24" t="s">
        <v>112</v>
      </c>
      <c r="B5" s="61" t="s">
        <v>111</v>
      </c>
      <c r="C5" s="61" t="s">
        <v>110</v>
      </c>
      <c r="D5" s="61" t="s">
        <v>109</v>
      </c>
      <c r="E5" s="61" t="s">
        <v>108</v>
      </c>
      <c r="F5" s="61" t="s">
        <v>107</v>
      </c>
      <c r="G5" s="61" t="s">
        <v>106</v>
      </c>
      <c r="H5" s="61" t="s">
        <v>105</v>
      </c>
      <c r="I5" s="61" t="s">
        <v>104</v>
      </c>
      <c r="J5" s="59" t="s">
        <v>103</v>
      </c>
      <c r="K5" s="846"/>
      <c r="L5" s="845"/>
      <c r="M5" s="847"/>
      <c r="N5" s="69" t="s">
        <v>174</v>
      </c>
      <c r="O5" s="37" t="s">
        <v>187</v>
      </c>
      <c r="P5" s="37" t="s">
        <v>188</v>
      </c>
      <c r="Q5" s="37" t="s">
        <v>172</v>
      </c>
    </row>
    <row r="6" spans="1:17" s="29" customFormat="1" ht="40.5" customHeight="1" x14ac:dyDescent="0.3">
      <c r="A6" s="27"/>
      <c r="B6" s="800" t="s">
        <v>114</v>
      </c>
      <c r="C6" s="800"/>
      <c r="D6" s="800"/>
      <c r="E6" s="800"/>
      <c r="F6" s="800"/>
      <c r="G6" s="800"/>
      <c r="H6" s="800"/>
      <c r="I6" s="800"/>
      <c r="J6" s="800"/>
      <c r="K6" s="62"/>
      <c r="L6" s="62"/>
      <c r="M6" s="62"/>
      <c r="N6" s="46"/>
      <c r="O6" s="46"/>
      <c r="P6" s="46"/>
      <c r="Q6" s="46"/>
    </row>
    <row r="7" spans="1:17" s="29" customFormat="1" ht="109.5" customHeight="1" x14ac:dyDescent="0.2">
      <c r="A7" s="27" t="s">
        <v>100</v>
      </c>
      <c r="B7" s="38" t="s">
        <v>101</v>
      </c>
      <c r="C7" s="38" t="s">
        <v>102</v>
      </c>
      <c r="D7" s="38" t="s">
        <v>96</v>
      </c>
      <c r="E7" s="38" t="s">
        <v>91</v>
      </c>
      <c r="F7" s="38" t="s">
        <v>140</v>
      </c>
      <c r="G7" s="38" t="s">
        <v>147</v>
      </c>
      <c r="H7" s="25">
        <v>10</v>
      </c>
      <c r="I7" s="25" t="s">
        <v>88</v>
      </c>
      <c r="J7" s="56" t="s">
        <v>186</v>
      </c>
      <c r="K7" s="63">
        <v>306000</v>
      </c>
      <c r="L7" s="63">
        <f>SUM(O7)</f>
        <v>500000</v>
      </c>
      <c r="M7" s="63">
        <f>SUM(L7-K7)</f>
        <v>194000</v>
      </c>
      <c r="N7" s="45">
        <v>500000</v>
      </c>
      <c r="O7" s="45">
        <v>500000</v>
      </c>
      <c r="P7" s="45"/>
      <c r="Q7" s="45">
        <f>SUM(O7-P7)</f>
        <v>500000</v>
      </c>
    </row>
    <row r="8" spans="1:17" s="29" customFormat="1" ht="45" customHeight="1" x14ac:dyDescent="0.2">
      <c r="A8" s="27" t="s">
        <v>100</v>
      </c>
      <c r="B8" s="38" t="s">
        <v>101</v>
      </c>
      <c r="C8" s="38" t="s">
        <v>102</v>
      </c>
      <c r="D8" s="38" t="s">
        <v>96</v>
      </c>
      <c r="E8" s="38" t="s">
        <v>91</v>
      </c>
      <c r="F8" s="38">
        <v>26</v>
      </c>
      <c r="G8" s="38" t="s">
        <v>147</v>
      </c>
      <c r="H8" s="25">
        <v>10</v>
      </c>
      <c r="I8" s="25" t="s">
        <v>88</v>
      </c>
      <c r="J8" s="36" t="s">
        <v>154</v>
      </c>
      <c r="K8" s="63">
        <v>50000</v>
      </c>
      <c r="L8" s="63">
        <f>SUM(O8)</f>
        <v>200000</v>
      </c>
      <c r="M8" s="63">
        <f>SUM(L8-K8)</f>
        <v>150000</v>
      </c>
      <c r="N8" s="45"/>
      <c r="O8" s="45">
        <v>200000</v>
      </c>
      <c r="P8" s="45"/>
      <c r="Q8" s="45">
        <f>SUM(O8-P8)</f>
        <v>200000</v>
      </c>
    </row>
    <row r="9" spans="1:17" s="34" customFormat="1" ht="22.5" x14ac:dyDescent="0.3">
      <c r="A9" s="31"/>
      <c r="B9" s="32"/>
      <c r="C9" s="32"/>
      <c r="D9" s="32"/>
      <c r="E9" s="32"/>
      <c r="F9" s="32"/>
      <c r="G9" s="32"/>
      <c r="H9" s="33"/>
      <c r="I9" s="33"/>
      <c r="J9" s="35" t="s">
        <v>135</v>
      </c>
      <c r="K9" s="39">
        <f>SUM(K7:K8)</f>
        <v>356000</v>
      </c>
      <c r="L9" s="39">
        <f>SUM(L7:L8)</f>
        <v>700000</v>
      </c>
      <c r="M9" s="39">
        <f>SUM(M7:M8)</f>
        <v>344000</v>
      </c>
      <c r="N9" s="49">
        <f>SUM(N6:N8)</f>
        <v>500000</v>
      </c>
      <c r="O9" s="49">
        <f>SUM(O6:O8)</f>
        <v>700000</v>
      </c>
      <c r="P9" s="49">
        <f>SUM(P6:P8)</f>
        <v>0</v>
      </c>
      <c r="Q9" s="49">
        <f>SUM(Q6:Q8)</f>
        <v>700000</v>
      </c>
    </row>
    <row r="10" spans="1:17" s="29" customFormat="1" ht="39.75" customHeight="1" x14ac:dyDescent="0.3">
      <c r="A10" s="27"/>
      <c r="B10" s="800" t="s">
        <v>127</v>
      </c>
      <c r="C10" s="800"/>
      <c r="D10" s="800"/>
      <c r="E10" s="800"/>
      <c r="F10" s="800"/>
      <c r="G10" s="800"/>
      <c r="H10" s="800"/>
      <c r="I10" s="800"/>
      <c r="J10" s="800"/>
      <c r="K10" s="64"/>
      <c r="L10" s="64"/>
      <c r="M10" s="64"/>
      <c r="N10" s="50"/>
      <c r="O10" s="50"/>
      <c r="P10" s="50"/>
      <c r="Q10" s="50"/>
    </row>
    <row r="11" spans="1:17" s="29" customFormat="1" ht="79.5" customHeight="1" x14ac:dyDescent="0.2">
      <c r="A11" s="27" t="s">
        <v>100</v>
      </c>
      <c r="B11" s="38" t="s">
        <v>101</v>
      </c>
      <c r="C11" s="38" t="s">
        <v>102</v>
      </c>
      <c r="D11" s="38" t="s">
        <v>96</v>
      </c>
      <c r="E11" s="38" t="s">
        <v>96</v>
      </c>
      <c r="F11" s="38" t="s">
        <v>95</v>
      </c>
      <c r="G11" s="38" t="s">
        <v>147</v>
      </c>
      <c r="H11" s="25">
        <v>10</v>
      </c>
      <c r="I11" s="25" t="s">
        <v>88</v>
      </c>
      <c r="J11" s="42" t="s">
        <v>155</v>
      </c>
      <c r="K11" s="63">
        <v>2427174</v>
      </c>
      <c r="L11" s="63">
        <f t="shared" ref="L11:L16" si="1">SUM(O11)</f>
        <v>1910000</v>
      </c>
      <c r="M11" s="70">
        <f t="shared" ref="M11:M16" si="2">SUM(L11-K11)</f>
        <v>-517174</v>
      </c>
      <c r="N11" s="45"/>
      <c r="O11" s="45">
        <v>1910000</v>
      </c>
      <c r="P11" s="48"/>
      <c r="Q11" s="45">
        <f t="shared" ref="Q11:Q16" si="3">SUM(O11-P11)</f>
        <v>1910000</v>
      </c>
    </row>
    <row r="12" spans="1:17" s="29" customFormat="1" ht="36" x14ac:dyDescent="0.2">
      <c r="A12" s="27" t="s">
        <v>100</v>
      </c>
      <c r="B12" s="38" t="s">
        <v>101</v>
      </c>
      <c r="C12" s="38" t="s">
        <v>102</v>
      </c>
      <c r="D12" s="38" t="s">
        <v>96</v>
      </c>
      <c r="E12" s="38" t="s">
        <v>96</v>
      </c>
      <c r="F12" s="38" t="s">
        <v>141</v>
      </c>
      <c r="G12" s="38" t="s">
        <v>147</v>
      </c>
      <c r="H12" s="25">
        <v>10</v>
      </c>
      <c r="I12" s="25" t="s">
        <v>88</v>
      </c>
      <c r="J12" s="42" t="s">
        <v>128</v>
      </c>
      <c r="K12" s="63">
        <v>332399</v>
      </c>
      <c r="L12" s="63">
        <f t="shared" si="1"/>
        <v>400000</v>
      </c>
      <c r="M12" s="63">
        <f t="shared" si="2"/>
        <v>67601</v>
      </c>
      <c r="N12" s="45"/>
      <c r="O12" s="45">
        <v>400000</v>
      </c>
      <c r="P12" s="45"/>
      <c r="Q12" s="45">
        <f t="shared" si="3"/>
        <v>400000</v>
      </c>
    </row>
    <row r="13" spans="1:17" s="29" customFormat="1" ht="51.75" customHeight="1" x14ac:dyDescent="0.2">
      <c r="A13" s="27" t="s">
        <v>100</v>
      </c>
      <c r="B13" s="38" t="s">
        <v>101</v>
      </c>
      <c r="C13" s="38" t="s">
        <v>102</v>
      </c>
      <c r="D13" s="38" t="s">
        <v>96</v>
      </c>
      <c r="E13" s="38" t="s">
        <v>96</v>
      </c>
      <c r="F13" s="38" t="s">
        <v>142</v>
      </c>
      <c r="G13" s="38" t="s">
        <v>147</v>
      </c>
      <c r="H13" s="25">
        <v>10</v>
      </c>
      <c r="I13" s="25" t="s">
        <v>88</v>
      </c>
      <c r="J13" s="42" t="s">
        <v>129</v>
      </c>
      <c r="K13" s="63">
        <v>17109402</v>
      </c>
      <c r="L13" s="63">
        <f t="shared" si="1"/>
        <v>14000000</v>
      </c>
      <c r="M13" s="70">
        <f t="shared" si="2"/>
        <v>-3109402</v>
      </c>
      <c r="N13" s="45"/>
      <c r="O13" s="45">
        <v>14000000</v>
      </c>
      <c r="P13" s="48"/>
      <c r="Q13" s="45">
        <f t="shared" si="3"/>
        <v>14000000</v>
      </c>
    </row>
    <row r="14" spans="1:17" s="28" customFormat="1" ht="109.5" customHeight="1" x14ac:dyDescent="0.2">
      <c r="A14" s="27" t="s">
        <v>100</v>
      </c>
      <c r="B14" s="38" t="s">
        <v>101</v>
      </c>
      <c r="C14" s="38" t="s">
        <v>102</v>
      </c>
      <c r="D14" s="38" t="s">
        <v>96</v>
      </c>
      <c r="E14" s="38" t="s">
        <v>96</v>
      </c>
      <c r="F14" s="38" t="s">
        <v>97</v>
      </c>
      <c r="G14" s="38" t="s">
        <v>147</v>
      </c>
      <c r="H14" s="25">
        <v>10</v>
      </c>
      <c r="I14" s="25" t="s">
        <v>88</v>
      </c>
      <c r="J14" s="42" t="s">
        <v>176</v>
      </c>
      <c r="K14" s="65">
        <v>2670320</v>
      </c>
      <c r="L14" s="63">
        <f t="shared" si="1"/>
        <v>2500000</v>
      </c>
      <c r="M14" s="70">
        <f t="shared" si="2"/>
        <v>-170320</v>
      </c>
      <c r="N14" s="45"/>
      <c r="O14" s="45">
        <v>2500000</v>
      </c>
      <c r="P14" s="48"/>
      <c r="Q14" s="45">
        <f t="shared" si="3"/>
        <v>2500000</v>
      </c>
    </row>
    <row r="15" spans="1:17" s="28" customFormat="1" ht="36" x14ac:dyDescent="0.2">
      <c r="A15" s="27" t="s">
        <v>100</v>
      </c>
      <c r="B15" s="38" t="s">
        <v>101</v>
      </c>
      <c r="C15" s="38" t="s">
        <v>102</v>
      </c>
      <c r="D15" s="38" t="s">
        <v>96</v>
      </c>
      <c r="E15" s="38" t="s">
        <v>96</v>
      </c>
      <c r="F15" s="38" t="s">
        <v>146</v>
      </c>
      <c r="G15" s="38" t="s">
        <v>147</v>
      </c>
      <c r="H15" s="25">
        <v>10</v>
      </c>
      <c r="I15" s="25" t="s">
        <v>88</v>
      </c>
      <c r="J15" s="36" t="s">
        <v>151</v>
      </c>
      <c r="K15" s="63">
        <v>105520</v>
      </c>
      <c r="L15" s="63">
        <f t="shared" si="1"/>
        <v>200000</v>
      </c>
      <c r="M15" s="63">
        <f t="shared" si="2"/>
        <v>94480</v>
      </c>
      <c r="N15" s="45"/>
      <c r="O15" s="45">
        <v>200000</v>
      </c>
      <c r="P15" s="45"/>
      <c r="Q15" s="45">
        <f t="shared" si="3"/>
        <v>200000</v>
      </c>
    </row>
    <row r="16" spans="1:17" s="28" customFormat="1" ht="36" x14ac:dyDescent="0.2">
      <c r="A16" s="27" t="s">
        <v>100</v>
      </c>
      <c r="B16" s="38" t="s">
        <v>101</v>
      </c>
      <c r="C16" s="38" t="s">
        <v>102</v>
      </c>
      <c r="D16" s="38" t="s">
        <v>96</v>
      </c>
      <c r="E16" s="38" t="s">
        <v>96</v>
      </c>
      <c r="F16" s="38" t="s">
        <v>143</v>
      </c>
      <c r="G16" s="38" t="s">
        <v>147</v>
      </c>
      <c r="H16" s="25">
        <v>10</v>
      </c>
      <c r="I16" s="25" t="s">
        <v>88</v>
      </c>
      <c r="J16" s="36" t="s">
        <v>130</v>
      </c>
      <c r="K16" s="63">
        <v>2813682</v>
      </c>
      <c r="L16" s="63">
        <f t="shared" si="1"/>
        <v>2500000</v>
      </c>
      <c r="M16" s="70">
        <f t="shared" si="2"/>
        <v>-313682</v>
      </c>
      <c r="N16" s="45">
        <v>4000000</v>
      </c>
      <c r="O16" s="45">
        <v>2500000</v>
      </c>
      <c r="P16" s="45"/>
      <c r="Q16" s="45">
        <f t="shared" si="3"/>
        <v>2500000</v>
      </c>
    </row>
    <row r="17" spans="1:17" s="34" customFormat="1" ht="27.95" x14ac:dyDescent="0.3">
      <c r="A17" s="31"/>
      <c r="B17" s="32"/>
      <c r="C17" s="32"/>
      <c r="D17" s="32"/>
      <c r="E17" s="32"/>
      <c r="F17" s="32"/>
      <c r="G17" s="32"/>
      <c r="H17" s="33"/>
      <c r="I17" s="33"/>
      <c r="J17" s="35" t="s">
        <v>131</v>
      </c>
      <c r="K17" s="39">
        <f t="shared" ref="K17:Q17" si="4">SUM(K11:K16)</f>
        <v>25458497</v>
      </c>
      <c r="L17" s="39">
        <f t="shared" si="4"/>
        <v>21510000</v>
      </c>
      <c r="M17" s="39">
        <f t="shared" si="4"/>
        <v>-3948497</v>
      </c>
      <c r="N17" s="49">
        <f t="shared" si="4"/>
        <v>4000000</v>
      </c>
      <c r="O17" s="49">
        <f t="shared" si="4"/>
        <v>21510000</v>
      </c>
      <c r="P17" s="49">
        <f t="shared" si="4"/>
        <v>0</v>
      </c>
      <c r="Q17" s="49">
        <f t="shared" si="4"/>
        <v>21510000</v>
      </c>
    </row>
    <row r="18" spans="1:17" s="28" customFormat="1" ht="45" customHeight="1" x14ac:dyDescent="0.3">
      <c r="A18" s="27"/>
      <c r="B18" s="800" t="s">
        <v>132</v>
      </c>
      <c r="C18" s="800"/>
      <c r="D18" s="800"/>
      <c r="E18" s="800"/>
      <c r="F18" s="800"/>
      <c r="G18" s="800"/>
      <c r="H18" s="800"/>
      <c r="I18" s="800"/>
      <c r="J18" s="800"/>
      <c r="K18" s="64"/>
      <c r="L18" s="64"/>
      <c r="M18" s="64"/>
      <c r="N18" s="50"/>
      <c r="O18" s="50"/>
      <c r="P18" s="50"/>
      <c r="Q18" s="50"/>
    </row>
    <row r="19" spans="1:17" s="28" customFormat="1" ht="90" customHeight="1" x14ac:dyDescent="0.2">
      <c r="A19" s="27" t="s">
        <v>100</v>
      </c>
      <c r="B19" s="38" t="s">
        <v>101</v>
      </c>
      <c r="C19" s="38" t="s">
        <v>102</v>
      </c>
      <c r="D19" s="38" t="s">
        <v>96</v>
      </c>
      <c r="E19" s="38" t="s">
        <v>94</v>
      </c>
      <c r="F19" s="38" t="s">
        <v>91</v>
      </c>
      <c r="G19" s="38" t="s">
        <v>147</v>
      </c>
      <c r="H19" s="25">
        <v>10</v>
      </c>
      <c r="I19" s="25" t="s">
        <v>88</v>
      </c>
      <c r="J19" s="42" t="s">
        <v>211</v>
      </c>
      <c r="K19" s="63">
        <v>2025011</v>
      </c>
      <c r="L19" s="63">
        <f>SUM(O19)</f>
        <v>2500000</v>
      </c>
      <c r="M19" s="63">
        <f t="shared" ref="M19:M25" si="5">SUM(L19-K19)</f>
        <v>474989</v>
      </c>
      <c r="N19" s="45"/>
      <c r="O19" s="45">
        <v>2500000</v>
      </c>
      <c r="P19" s="48"/>
      <c r="Q19" s="45">
        <f t="shared" ref="Q19:Q25" si="6">SUM(O19-P19)</f>
        <v>2500000</v>
      </c>
    </row>
    <row r="20" spans="1:17" s="28" customFormat="1" ht="72.75" customHeight="1" x14ac:dyDescent="0.2">
      <c r="A20" s="27" t="s">
        <v>100</v>
      </c>
      <c r="B20" s="38" t="s">
        <v>101</v>
      </c>
      <c r="C20" s="38" t="s">
        <v>102</v>
      </c>
      <c r="D20" s="38" t="s">
        <v>96</v>
      </c>
      <c r="E20" s="38" t="s">
        <v>94</v>
      </c>
      <c r="F20" s="38" t="s">
        <v>101</v>
      </c>
      <c r="G20" s="38" t="s">
        <v>147</v>
      </c>
      <c r="H20" s="25">
        <v>10</v>
      </c>
      <c r="I20" s="25" t="s">
        <v>88</v>
      </c>
      <c r="J20" s="42" t="s">
        <v>185</v>
      </c>
      <c r="K20" s="65">
        <v>3413575</v>
      </c>
      <c r="L20" s="63">
        <f t="shared" ref="L20:L25" si="7">SUM(O20)</f>
        <v>3700000</v>
      </c>
      <c r="M20" s="63">
        <f t="shared" si="5"/>
        <v>286425</v>
      </c>
      <c r="N20" s="45"/>
      <c r="O20" s="67">
        <v>3700000</v>
      </c>
      <c r="P20" s="68"/>
      <c r="Q20" s="45">
        <f t="shared" si="6"/>
        <v>3700000</v>
      </c>
    </row>
    <row r="21" spans="1:17" s="28" customFormat="1" ht="79.5" customHeight="1" x14ac:dyDescent="0.2">
      <c r="A21" s="27" t="s">
        <v>100</v>
      </c>
      <c r="B21" s="38" t="s">
        <v>101</v>
      </c>
      <c r="C21" s="38" t="s">
        <v>102</v>
      </c>
      <c r="D21" s="38" t="s">
        <v>96</v>
      </c>
      <c r="E21" s="38" t="s">
        <v>94</v>
      </c>
      <c r="F21" s="38" t="s">
        <v>94</v>
      </c>
      <c r="G21" s="38" t="s">
        <v>147</v>
      </c>
      <c r="H21" s="25">
        <v>10</v>
      </c>
      <c r="I21" s="25" t="s">
        <v>88</v>
      </c>
      <c r="J21" s="42" t="s">
        <v>184</v>
      </c>
      <c r="K21" s="66">
        <v>777156</v>
      </c>
      <c r="L21" s="63">
        <f t="shared" si="7"/>
        <v>900000</v>
      </c>
      <c r="M21" s="63">
        <f t="shared" si="5"/>
        <v>122844</v>
      </c>
      <c r="N21" s="45"/>
      <c r="O21" s="45">
        <v>900000</v>
      </c>
      <c r="P21" s="45"/>
      <c r="Q21" s="45">
        <f t="shared" si="6"/>
        <v>900000</v>
      </c>
    </row>
    <row r="22" spans="1:17" s="28" customFormat="1" ht="66.75" customHeight="1" x14ac:dyDescent="0.2">
      <c r="A22" s="30" t="s">
        <v>100</v>
      </c>
      <c r="B22" s="38" t="s">
        <v>101</v>
      </c>
      <c r="C22" s="38" t="s">
        <v>102</v>
      </c>
      <c r="D22" s="38" t="s">
        <v>96</v>
      </c>
      <c r="E22" s="38" t="s">
        <v>94</v>
      </c>
      <c r="F22" s="38" t="s">
        <v>99</v>
      </c>
      <c r="G22" s="38" t="s">
        <v>147</v>
      </c>
      <c r="H22" s="25">
        <v>10</v>
      </c>
      <c r="I22" s="25" t="s">
        <v>88</v>
      </c>
      <c r="J22" s="42" t="s">
        <v>116</v>
      </c>
      <c r="K22" s="63"/>
      <c r="L22" s="63">
        <f t="shared" si="7"/>
        <v>0</v>
      </c>
      <c r="M22" s="63">
        <f t="shared" si="5"/>
        <v>0</v>
      </c>
      <c r="N22" s="45"/>
      <c r="O22" s="45"/>
      <c r="P22" s="45"/>
      <c r="Q22" s="45">
        <f t="shared" si="6"/>
        <v>0</v>
      </c>
    </row>
    <row r="23" spans="1:17" s="28" customFormat="1" ht="36" x14ac:dyDescent="0.2">
      <c r="A23" s="27" t="s">
        <v>100</v>
      </c>
      <c r="B23" s="38" t="s">
        <v>101</v>
      </c>
      <c r="C23" s="38" t="s">
        <v>102</v>
      </c>
      <c r="D23" s="38" t="s">
        <v>96</v>
      </c>
      <c r="E23" s="38" t="s">
        <v>94</v>
      </c>
      <c r="F23" s="38" t="s">
        <v>139</v>
      </c>
      <c r="G23" s="38" t="s">
        <v>147</v>
      </c>
      <c r="H23" s="25">
        <v>10</v>
      </c>
      <c r="I23" s="25" t="s">
        <v>88</v>
      </c>
      <c r="J23" s="42" t="s">
        <v>133</v>
      </c>
      <c r="K23" s="63"/>
      <c r="L23" s="63">
        <f t="shared" si="7"/>
        <v>0</v>
      </c>
      <c r="M23" s="63">
        <f t="shared" si="5"/>
        <v>0</v>
      </c>
      <c r="N23" s="45"/>
      <c r="O23" s="45"/>
      <c r="P23" s="45"/>
      <c r="Q23" s="45">
        <f t="shared" si="6"/>
        <v>0</v>
      </c>
    </row>
    <row r="24" spans="1:17" s="28" customFormat="1" ht="36" x14ac:dyDescent="0.2">
      <c r="A24" s="27" t="s">
        <v>100</v>
      </c>
      <c r="B24" s="38" t="s">
        <v>101</v>
      </c>
      <c r="C24" s="38" t="s">
        <v>102</v>
      </c>
      <c r="D24" s="38" t="s">
        <v>96</v>
      </c>
      <c r="E24" s="38" t="s">
        <v>94</v>
      </c>
      <c r="F24" s="38" t="s">
        <v>89</v>
      </c>
      <c r="G24" s="38" t="s">
        <v>147</v>
      </c>
      <c r="H24" s="25">
        <v>10</v>
      </c>
      <c r="I24" s="25" t="s">
        <v>88</v>
      </c>
      <c r="J24" s="42" t="s">
        <v>117</v>
      </c>
      <c r="K24" s="63"/>
      <c r="L24" s="63">
        <f t="shared" si="7"/>
        <v>0</v>
      </c>
      <c r="M24" s="63">
        <f t="shared" si="5"/>
        <v>0</v>
      </c>
      <c r="N24" s="45"/>
      <c r="O24" s="45"/>
      <c r="P24" s="45"/>
      <c r="Q24" s="45">
        <f t="shared" si="6"/>
        <v>0</v>
      </c>
    </row>
    <row r="25" spans="1:17" s="28" customFormat="1" ht="36" x14ac:dyDescent="0.2">
      <c r="A25" s="27" t="s">
        <v>100</v>
      </c>
      <c r="B25" s="38" t="s">
        <v>101</v>
      </c>
      <c r="C25" s="38" t="s">
        <v>102</v>
      </c>
      <c r="D25" s="38" t="s">
        <v>96</v>
      </c>
      <c r="E25" s="38" t="s">
        <v>94</v>
      </c>
      <c r="F25" s="38" t="s">
        <v>144</v>
      </c>
      <c r="G25" s="38" t="s">
        <v>147</v>
      </c>
      <c r="H25" s="25">
        <v>10</v>
      </c>
      <c r="I25" s="25" t="s">
        <v>88</v>
      </c>
      <c r="J25" s="42" t="s">
        <v>118</v>
      </c>
      <c r="K25" s="63">
        <v>351380</v>
      </c>
      <c r="L25" s="63">
        <f t="shared" si="7"/>
        <v>450000</v>
      </c>
      <c r="M25" s="63">
        <f t="shared" si="5"/>
        <v>98620</v>
      </c>
      <c r="N25" s="45">
        <v>1500000</v>
      </c>
      <c r="O25" s="45">
        <v>450000</v>
      </c>
      <c r="P25" s="45"/>
      <c r="Q25" s="45">
        <f t="shared" si="6"/>
        <v>450000</v>
      </c>
    </row>
    <row r="26" spans="1:17" s="34" customFormat="1" ht="48" customHeight="1" x14ac:dyDescent="0.2">
      <c r="A26" s="31"/>
      <c r="B26" s="32"/>
      <c r="C26" s="32"/>
      <c r="D26" s="32"/>
      <c r="E26" s="32"/>
      <c r="F26" s="32"/>
      <c r="G26" s="32"/>
      <c r="H26" s="33"/>
      <c r="I26" s="33"/>
      <c r="J26" s="35" t="s">
        <v>134</v>
      </c>
      <c r="K26" s="39">
        <f t="shared" ref="K26:Q26" si="8">SUM(K19:K25)</f>
        <v>6567122</v>
      </c>
      <c r="L26" s="39">
        <f t="shared" si="8"/>
        <v>7550000</v>
      </c>
      <c r="M26" s="39">
        <f t="shared" si="8"/>
        <v>982878</v>
      </c>
      <c r="N26" s="49">
        <f>SUM(N19:N25)</f>
        <v>1500000</v>
      </c>
      <c r="O26" s="49">
        <f t="shared" si="8"/>
        <v>7550000</v>
      </c>
      <c r="P26" s="49">
        <f t="shared" si="8"/>
        <v>0</v>
      </c>
      <c r="Q26" s="49">
        <f t="shared" si="8"/>
        <v>7550000</v>
      </c>
    </row>
    <row r="27" spans="1:17" s="28" customFormat="1" ht="26.25" customHeight="1" x14ac:dyDescent="0.2">
      <c r="A27" s="27"/>
      <c r="B27" s="800" t="s">
        <v>124</v>
      </c>
      <c r="C27" s="800"/>
      <c r="D27" s="800"/>
      <c r="E27" s="800"/>
      <c r="F27" s="800"/>
      <c r="G27" s="800"/>
      <c r="H27" s="800"/>
      <c r="I27" s="800"/>
      <c r="J27" s="800"/>
      <c r="K27" s="64"/>
      <c r="L27" s="64"/>
      <c r="M27" s="64"/>
      <c r="N27" s="50"/>
      <c r="O27" s="50"/>
      <c r="P27" s="50"/>
      <c r="Q27" s="50"/>
    </row>
    <row r="28" spans="1:17" s="28" customFormat="1" ht="36" x14ac:dyDescent="0.2">
      <c r="A28" s="27" t="s">
        <v>100</v>
      </c>
      <c r="B28" s="38" t="s">
        <v>101</v>
      </c>
      <c r="C28" s="38" t="s">
        <v>102</v>
      </c>
      <c r="D28" s="38" t="s">
        <v>96</v>
      </c>
      <c r="E28" s="38" t="s">
        <v>99</v>
      </c>
      <c r="F28" s="38" t="s">
        <v>101</v>
      </c>
      <c r="G28" s="38" t="s">
        <v>147</v>
      </c>
      <c r="H28" s="25">
        <v>10</v>
      </c>
      <c r="I28" s="25" t="s">
        <v>88</v>
      </c>
      <c r="J28" s="36" t="s">
        <v>119</v>
      </c>
      <c r="K28" s="63">
        <v>815565</v>
      </c>
      <c r="L28" s="63">
        <f>SUM(O28)</f>
        <v>1000000</v>
      </c>
      <c r="M28" s="63">
        <f>SUM(L28-K28)</f>
        <v>184435</v>
      </c>
      <c r="N28" s="45"/>
      <c r="O28" s="45">
        <v>1000000</v>
      </c>
      <c r="P28" s="48"/>
      <c r="Q28" s="45">
        <f>SUM(O28-P28)</f>
        <v>1000000</v>
      </c>
    </row>
    <row r="29" spans="1:17" s="28" customFormat="1" ht="54" customHeight="1" x14ac:dyDescent="0.2">
      <c r="A29" s="27" t="s">
        <v>100</v>
      </c>
      <c r="B29" s="38" t="s">
        <v>101</v>
      </c>
      <c r="C29" s="38" t="s">
        <v>102</v>
      </c>
      <c r="D29" s="38" t="s">
        <v>96</v>
      </c>
      <c r="E29" s="38" t="s">
        <v>99</v>
      </c>
      <c r="F29" s="38" t="s">
        <v>94</v>
      </c>
      <c r="G29" s="38" t="s">
        <v>147</v>
      </c>
      <c r="H29" s="25">
        <v>10</v>
      </c>
      <c r="I29" s="25" t="s">
        <v>88</v>
      </c>
      <c r="J29" s="42" t="s">
        <v>120</v>
      </c>
      <c r="K29" s="63"/>
      <c r="L29" s="63">
        <f>SUM(O29)</f>
        <v>0</v>
      </c>
      <c r="M29" s="63">
        <f>SUM(L29-K29)</f>
        <v>0</v>
      </c>
      <c r="N29" s="45"/>
      <c r="O29" s="45"/>
      <c r="P29" s="45"/>
      <c r="Q29" s="45">
        <f>SUM(O29-P29)</f>
        <v>0</v>
      </c>
    </row>
    <row r="30" spans="1:17" s="28" customFormat="1" ht="36" x14ac:dyDescent="0.2">
      <c r="A30" s="27" t="s">
        <v>100</v>
      </c>
      <c r="B30" s="38" t="s">
        <v>101</v>
      </c>
      <c r="C30" s="38" t="s">
        <v>102</v>
      </c>
      <c r="D30" s="38" t="s">
        <v>96</v>
      </c>
      <c r="E30" s="38" t="s">
        <v>99</v>
      </c>
      <c r="F30" s="38" t="s">
        <v>145</v>
      </c>
      <c r="G30" s="38" t="s">
        <v>147</v>
      </c>
      <c r="H30" s="25">
        <v>10</v>
      </c>
      <c r="I30" s="25" t="s">
        <v>88</v>
      </c>
      <c r="J30" s="42" t="s">
        <v>121</v>
      </c>
      <c r="K30" s="63">
        <v>3274900</v>
      </c>
      <c r="L30" s="63">
        <f>SUM(O30)</f>
        <v>3000000</v>
      </c>
      <c r="M30" s="70">
        <f>SUM(L30-K30)</f>
        <v>-274900</v>
      </c>
      <c r="N30" s="45"/>
      <c r="O30" s="45">
        <v>3000000</v>
      </c>
      <c r="P30" s="48"/>
      <c r="Q30" s="45">
        <f>SUM(O30-P30)</f>
        <v>3000000</v>
      </c>
    </row>
    <row r="31" spans="1:17" s="28" customFormat="1" ht="100.5" customHeight="1" x14ac:dyDescent="0.2">
      <c r="A31" s="27" t="s">
        <v>100</v>
      </c>
      <c r="B31" s="38" t="s">
        <v>101</v>
      </c>
      <c r="C31" s="38" t="s">
        <v>102</v>
      </c>
      <c r="D31" s="38" t="s">
        <v>96</v>
      </c>
      <c r="E31" s="38" t="s">
        <v>99</v>
      </c>
      <c r="F31" s="38" t="s">
        <v>139</v>
      </c>
      <c r="G31" s="38" t="s">
        <v>147</v>
      </c>
      <c r="H31" s="25">
        <v>10</v>
      </c>
      <c r="I31" s="25" t="s">
        <v>88</v>
      </c>
      <c r="J31" s="42" t="s">
        <v>162</v>
      </c>
      <c r="K31" s="63"/>
      <c r="L31" s="63">
        <f>SUM(O31)</f>
        <v>0</v>
      </c>
      <c r="M31" s="63">
        <f>SUM(L31-K31)</f>
        <v>0</v>
      </c>
      <c r="N31" s="45">
        <v>1500000</v>
      </c>
      <c r="O31" s="45"/>
      <c r="P31" s="45"/>
      <c r="Q31" s="45">
        <f>SUM(O31-P31)</f>
        <v>0</v>
      </c>
    </row>
    <row r="32" spans="1:17" s="34" customFormat="1" ht="49.5" customHeight="1" x14ac:dyDescent="0.2">
      <c r="A32" s="31"/>
      <c r="B32" s="32"/>
      <c r="C32" s="32"/>
      <c r="D32" s="32"/>
      <c r="E32" s="32"/>
      <c r="F32" s="32"/>
      <c r="G32" s="32"/>
      <c r="H32" s="33"/>
      <c r="I32" s="33"/>
      <c r="J32" s="35" t="s">
        <v>136</v>
      </c>
      <c r="K32" s="39">
        <f t="shared" ref="K32:Q32" si="9">SUM(K28:K31)</f>
        <v>4090465</v>
      </c>
      <c r="L32" s="39">
        <f t="shared" si="9"/>
        <v>4000000</v>
      </c>
      <c r="M32" s="39">
        <f t="shared" si="9"/>
        <v>-90465</v>
      </c>
      <c r="N32" s="49">
        <f t="shared" si="9"/>
        <v>1500000</v>
      </c>
      <c r="O32" s="49">
        <f t="shared" si="9"/>
        <v>4000000</v>
      </c>
      <c r="P32" s="49">
        <f t="shared" si="9"/>
        <v>0</v>
      </c>
      <c r="Q32" s="49">
        <f t="shared" si="9"/>
        <v>4000000</v>
      </c>
    </row>
    <row r="33" spans="1:17" s="28" customFormat="1" ht="33" customHeight="1" x14ac:dyDescent="0.2">
      <c r="A33" s="27"/>
      <c r="B33" s="800" t="s">
        <v>122</v>
      </c>
      <c r="C33" s="800"/>
      <c r="D33" s="800"/>
      <c r="E33" s="800"/>
      <c r="F33" s="800"/>
      <c r="G33" s="800"/>
      <c r="H33" s="800"/>
      <c r="I33" s="800"/>
      <c r="J33" s="800" t="s">
        <v>122</v>
      </c>
      <c r="K33" s="64"/>
      <c r="L33" s="64"/>
      <c r="M33" s="64"/>
      <c r="N33" s="50"/>
      <c r="O33" s="50"/>
      <c r="P33" s="50"/>
      <c r="Q33" s="50"/>
    </row>
    <row r="34" spans="1:17" s="28" customFormat="1" ht="36" x14ac:dyDescent="0.2">
      <c r="A34" s="27" t="s">
        <v>100</v>
      </c>
      <c r="B34" s="38">
        <v>2</v>
      </c>
      <c r="C34" s="38">
        <v>0</v>
      </c>
      <c r="D34" s="38">
        <v>4</v>
      </c>
      <c r="E34" s="38">
        <v>7</v>
      </c>
      <c r="F34" s="38">
        <v>1</v>
      </c>
      <c r="G34" s="38" t="s">
        <v>147</v>
      </c>
      <c r="H34" s="25">
        <v>9</v>
      </c>
      <c r="I34" s="25" t="s">
        <v>88</v>
      </c>
      <c r="J34" s="36" t="s">
        <v>150</v>
      </c>
      <c r="K34" s="63"/>
      <c r="L34" s="63">
        <f>SUM(O34)</f>
        <v>0</v>
      </c>
      <c r="M34" s="63">
        <f>SUM(L34-K34)</f>
        <v>0</v>
      </c>
      <c r="N34" s="45"/>
      <c r="O34" s="45">
        <v>0</v>
      </c>
      <c r="P34" s="45">
        <v>0</v>
      </c>
      <c r="Q34" s="45">
        <f>SUM(O34-P34)</f>
        <v>0</v>
      </c>
    </row>
    <row r="35" spans="1:17" s="28" customFormat="1" ht="65.25" customHeight="1" x14ac:dyDescent="0.2">
      <c r="A35" s="27" t="s">
        <v>100</v>
      </c>
      <c r="B35" s="38" t="s">
        <v>101</v>
      </c>
      <c r="C35" s="38" t="s">
        <v>102</v>
      </c>
      <c r="D35" s="38" t="s">
        <v>96</v>
      </c>
      <c r="E35" s="38" t="s">
        <v>145</v>
      </c>
      <c r="F35" s="38" t="s">
        <v>98</v>
      </c>
      <c r="G35" s="38" t="s">
        <v>90</v>
      </c>
      <c r="H35" s="25" t="s">
        <v>89</v>
      </c>
      <c r="I35" s="25" t="s">
        <v>88</v>
      </c>
      <c r="J35" s="36" t="s">
        <v>149</v>
      </c>
      <c r="K35" s="63"/>
      <c r="L35" s="63">
        <f>SUM(O35)</f>
        <v>0</v>
      </c>
      <c r="M35" s="63">
        <f>SUM(L35-K35)</f>
        <v>0</v>
      </c>
      <c r="N35" s="45"/>
      <c r="O35" s="45"/>
      <c r="P35" s="45">
        <v>0</v>
      </c>
      <c r="Q35" s="45">
        <f>SUM(O35-P35)</f>
        <v>0</v>
      </c>
    </row>
    <row r="36" spans="1:17" s="28" customFormat="1" ht="52.5" customHeight="1" x14ac:dyDescent="0.2">
      <c r="A36" s="27" t="s">
        <v>100</v>
      </c>
      <c r="B36" s="38" t="s">
        <v>101</v>
      </c>
      <c r="C36" s="38" t="s">
        <v>102</v>
      </c>
      <c r="D36" s="38" t="s">
        <v>96</v>
      </c>
      <c r="E36" s="38" t="s">
        <v>145</v>
      </c>
      <c r="F36" s="38" t="s">
        <v>94</v>
      </c>
      <c r="G36" s="38" t="s">
        <v>147</v>
      </c>
      <c r="H36" s="25">
        <v>10</v>
      </c>
      <c r="I36" s="25" t="s">
        <v>88</v>
      </c>
      <c r="J36" s="42" t="s">
        <v>123</v>
      </c>
      <c r="K36" s="63"/>
      <c r="L36" s="63">
        <f>SUM(O36)</f>
        <v>0</v>
      </c>
      <c r="M36" s="63">
        <f>SUM(L36-K36)</f>
        <v>0</v>
      </c>
      <c r="N36" s="45"/>
      <c r="O36" s="45"/>
      <c r="P36" s="45"/>
      <c r="Q36" s="45">
        <f>SUM(O36-P36)</f>
        <v>0</v>
      </c>
    </row>
    <row r="37" spans="1:17" s="28" customFormat="1" ht="73.5" customHeight="1" x14ac:dyDescent="0.2">
      <c r="A37" s="27" t="s">
        <v>100</v>
      </c>
      <c r="B37" s="38" t="s">
        <v>101</v>
      </c>
      <c r="C37" s="38" t="s">
        <v>102</v>
      </c>
      <c r="D37" s="38" t="s">
        <v>96</v>
      </c>
      <c r="E37" s="38" t="s">
        <v>145</v>
      </c>
      <c r="F37" s="38" t="s">
        <v>99</v>
      </c>
      <c r="G37" s="38" t="s">
        <v>147</v>
      </c>
      <c r="H37" s="25">
        <v>10</v>
      </c>
      <c r="I37" s="25" t="s">
        <v>88</v>
      </c>
      <c r="J37" s="42" t="s">
        <v>212</v>
      </c>
      <c r="K37" s="63">
        <v>2893964</v>
      </c>
      <c r="L37" s="63">
        <f>SUM(O37)</f>
        <v>3000000</v>
      </c>
      <c r="M37" s="63">
        <f>SUM(L37-K37)</f>
        <v>106036</v>
      </c>
      <c r="N37" s="49">
        <v>500000</v>
      </c>
      <c r="O37" s="45">
        <v>3000000</v>
      </c>
      <c r="P37" s="48"/>
      <c r="Q37" s="45">
        <f>SUM(O37-P37)</f>
        <v>3000000</v>
      </c>
    </row>
    <row r="38" spans="1:17" s="34" customFormat="1" ht="36" x14ac:dyDescent="0.2">
      <c r="A38" s="31"/>
      <c r="B38" s="32"/>
      <c r="C38" s="32"/>
      <c r="D38" s="32"/>
      <c r="E38" s="32"/>
      <c r="F38" s="32"/>
      <c r="G38" s="32" t="s">
        <v>147</v>
      </c>
      <c r="H38" s="33"/>
      <c r="I38" s="33"/>
      <c r="J38" s="35" t="s">
        <v>152</v>
      </c>
      <c r="K38" s="39">
        <f t="shared" ref="K38:Q38" si="10">SUM(K34:K37)</f>
        <v>2893964</v>
      </c>
      <c r="L38" s="39">
        <f t="shared" si="10"/>
        <v>3000000</v>
      </c>
      <c r="M38" s="39">
        <f t="shared" si="10"/>
        <v>106036</v>
      </c>
      <c r="N38" s="49">
        <f t="shared" si="10"/>
        <v>500000</v>
      </c>
      <c r="O38" s="49">
        <f t="shared" si="10"/>
        <v>3000000</v>
      </c>
      <c r="P38" s="49">
        <f t="shared" si="10"/>
        <v>0</v>
      </c>
      <c r="Q38" s="49">
        <f t="shared" si="10"/>
        <v>3000000</v>
      </c>
    </row>
    <row r="39" spans="1:17" s="28" customFormat="1" ht="39.75" customHeight="1" x14ac:dyDescent="0.2">
      <c r="A39" s="27"/>
      <c r="B39" s="797" t="s">
        <v>125</v>
      </c>
      <c r="C39" s="798"/>
      <c r="D39" s="798"/>
      <c r="E39" s="798"/>
      <c r="F39" s="798"/>
      <c r="G39" s="798"/>
      <c r="H39" s="798"/>
      <c r="I39" s="798"/>
      <c r="J39" s="798"/>
      <c r="K39" s="64"/>
      <c r="L39" s="64"/>
      <c r="M39" s="64"/>
      <c r="N39" s="50"/>
      <c r="O39" s="50"/>
      <c r="P39" s="50"/>
      <c r="Q39" s="50"/>
    </row>
    <row r="40" spans="1:17" s="28" customFormat="1" ht="36" x14ac:dyDescent="0.2">
      <c r="A40" s="27" t="s">
        <v>100</v>
      </c>
      <c r="B40" s="38" t="s">
        <v>101</v>
      </c>
      <c r="C40" s="38" t="s">
        <v>102</v>
      </c>
      <c r="D40" s="38" t="s">
        <v>96</v>
      </c>
      <c r="E40" s="38" t="s">
        <v>93</v>
      </c>
      <c r="F40" s="38" t="s">
        <v>101</v>
      </c>
      <c r="G40" s="38" t="s">
        <v>147</v>
      </c>
      <c r="H40" s="25">
        <v>10</v>
      </c>
      <c r="I40" s="25" t="s">
        <v>88</v>
      </c>
      <c r="J40" s="36" t="s">
        <v>115</v>
      </c>
      <c r="K40" s="63">
        <v>9261670.0500000007</v>
      </c>
      <c r="L40" s="63">
        <f>SUM(O40)</f>
        <v>16000000</v>
      </c>
      <c r="M40" s="63">
        <f>SUM(L40-K40)</f>
        <v>6738329.9499999993</v>
      </c>
      <c r="N40" s="45">
        <v>4000000</v>
      </c>
      <c r="O40" s="47">
        <v>16000000</v>
      </c>
      <c r="P40" s="48"/>
      <c r="Q40" s="45">
        <f>SUM(O40-P40)</f>
        <v>16000000</v>
      </c>
    </row>
    <row r="41" spans="1:17" s="34" customFormat="1" ht="28.5" x14ac:dyDescent="0.2">
      <c r="A41" s="31"/>
      <c r="B41" s="32"/>
      <c r="C41" s="32"/>
      <c r="D41" s="32"/>
      <c r="E41" s="32"/>
      <c r="F41" s="32"/>
      <c r="G41" s="32"/>
      <c r="H41" s="33"/>
      <c r="I41" s="33"/>
      <c r="J41" s="35" t="s">
        <v>137</v>
      </c>
      <c r="K41" s="39">
        <f t="shared" ref="K41:Q41" si="11">SUM(K40:K40)</f>
        <v>9261670.0500000007</v>
      </c>
      <c r="L41" s="39">
        <f t="shared" si="11"/>
        <v>16000000</v>
      </c>
      <c r="M41" s="39">
        <f t="shared" si="11"/>
        <v>6738329.9499999993</v>
      </c>
      <c r="N41" s="49">
        <f t="shared" si="11"/>
        <v>4000000</v>
      </c>
      <c r="O41" s="49">
        <f t="shared" si="11"/>
        <v>16000000</v>
      </c>
      <c r="P41" s="49">
        <f t="shared" si="11"/>
        <v>0</v>
      </c>
      <c r="Q41" s="49">
        <f t="shared" si="11"/>
        <v>16000000</v>
      </c>
    </row>
  </sheetData>
  <mergeCells count="13">
    <mergeCell ref="A1:Q1"/>
    <mergeCell ref="A2:Q2"/>
    <mergeCell ref="B3:I3"/>
    <mergeCell ref="L4:L5"/>
    <mergeCell ref="K4:K5"/>
    <mergeCell ref="M4:M5"/>
    <mergeCell ref="N4:Q4"/>
    <mergeCell ref="B33:J33"/>
    <mergeCell ref="B39:J39"/>
    <mergeCell ref="B6:J6"/>
    <mergeCell ref="B10:J10"/>
    <mergeCell ref="B18:J18"/>
    <mergeCell ref="B27:J27"/>
  </mergeCells>
  <pageMargins left="1.299212598425197" right="0" top="0.39370078740157483" bottom="0" header="0.78740157480314965" footer="0.78740157480314965"/>
  <pageSetup paperSize="5" scale="29" orientation="landscape" horizontalDpi="300" verticalDpi="300" r:id="rId1"/>
  <headerFooter alignWithMargins="0"/>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AW131"/>
  <sheetViews>
    <sheetView showGridLines="0" topLeftCell="A4" zoomScale="44" zoomScaleNormal="44" zoomScaleSheetLayoutView="53" zoomScalePageLayoutView="50" workbookViewId="0">
      <pane xSplit="13" ySplit="2" topLeftCell="Z6" activePane="bottomRight" state="frozen"/>
      <selection activeCell="A4" sqref="A4"/>
      <selection pane="topRight" activeCell="N4" sqref="N4"/>
      <selection pane="bottomLeft" activeCell="A6" sqref="A6"/>
      <selection pane="bottomRight" activeCell="AF6" sqref="AF6"/>
    </sheetView>
  </sheetViews>
  <sheetFormatPr baseColWidth="10" defaultColWidth="11.42578125" defaultRowHeight="23.25" x14ac:dyDescent="0.35"/>
  <cols>
    <col min="1" max="1" width="3.85546875" style="10" customWidth="1"/>
    <col min="2" max="2" width="8.5703125" style="10" customWidth="1"/>
    <col min="3" max="3" width="8.140625" style="10" customWidth="1"/>
    <col min="4" max="7" width="3.85546875" style="10" customWidth="1"/>
    <col min="8" max="8" width="12.42578125" style="10" customWidth="1"/>
    <col min="9" max="9" width="3.85546875" style="10" customWidth="1"/>
    <col min="10" max="10" width="50.28515625" style="10" customWidth="1"/>
    <col min="11" max="11" width="17.5703125" style="10" hidden="1" customWidth="1"/>
    <col min="12" max="12" width="18.5703125" style="10" hidden="1" customWidth="1"/>
    <col min="13" max="13" width="19.42578125" style="10" hidden="1" customWidth="1"/>
    <col min="14" max="14" width="35.42578125" style="10" customWidth="1"/>
    <col min="15" max="15" width="29.28515625" style="10" customWidth="1"/>
    <col min="16" max="16" width="28.85546875" style="10" customWidth="1"/>
    <col min="17" max="17" width="37" style="10" customWidth="1"/>
    <col min="18" max="18" width="23.5703125" style="10" customWidth="1"/>
    <col min="19" max="19" width="24.42578125" style="10" customWidth="1"/>
    <col min="20" max="20" width="23" style="10" customWidth="1"/>
    <col min="21" max="21" width="26.85546875" style="10" customWidth="1"/>
    <col min="22" max="22" width="35.7109375" style="10" customWidth="1"/>
    <col min="23" max="23" width="34.140625" style="10" customWidth="1"/>
    <col min="24" max="24" width="29" style="564" customWidth="1"/>
    <col min="25" max="25" width="34.7109375" style="10" customWidth="1"/>
    <col min="26" max="26" width="36.28515625" style="10" customWidth="1"/>
    <col min="27" max="27" width="36.140625" style="10" customWidth="1"/>
    <col min="28" max="28" width="35.42578125" style="10" customWidth="1"/>
    <col min="29" max="29" width="25.5703125" style="10" hidden="1" customWidth="1"/>
    <col min="30" max="30" width="35.28515625" style="10" customWidth="1"/>
    <col min="31" max="31" width="32.85546875" style="10" customWidth="1"/>
    <col min="32" max="32" width="34.7109375" style="10" customWidth="1"/>
    <col min="33" max="33" width="38.140625" style="119" customWidth="1"/>
    <col min="34" max="34" width="22.5703125" style="120" customWidth="1"/>
    <col min="35" max="35" width="24.42578125" style="10" hidden="1" customWidth="1"/>
    <col min="36" max="36" width="97.42578125" style="121" hidden="1" customWidth="1"/>
    <col min="37" max="37" width="8" style="10" hidden="1" customWidth="1"/>
    <col min="38" max="38" width="24.85546875" style="120" customWidth="1"/>
    <col min="39" max="39" width="3" style="122" customWidth="1"/>
    <col min="40" max="40" width="28.7109375" style="10" customWidth="1"/>
    <col min="41" max="41" width="44.28515625" style="10" customWidth="1"/>
    <col min="42" max="42" width="44.5703125" style="123" customWidth="1"/>
    <col min="43" max="43" width="41.85546875" style="123" customWidth="1"/>
    <col min="44" max="44" width="30.42578125" style="124" customWidth="1"/>
    <col min="45" max="45" width="13.85546875" style="10" customWidth="1"/>
    <col min="46" max="46" width="39.42578125" style="10" customWidth="1"/>
    <col min="47" max="47" width="32.42578125" style="125" customWidth="1"/>
    <col min="48" max="48" width="34.140625" style="10" customWidth="1"/>
    <col min="49" max="49" width="26.7109375" style="10" customWidth="1"/>
    <col min="50" max="256" width="11.42578125" style="10"/>
    <col min="257" max="257" width="3.85546875" style="10" customWidth="1"/>
    <col min="258" max="258" width="8.5703125" style="10" customWidth="1"/>
    <col min="259" max="259" width="8.140625" style="10" customWidth="1"/>
    <col min="260" max="263" width="3.85546875" style="10" customWidth="1"/>
    <col min="264" max="264" width="12.42578125" style="10" customWidth="1"/>
    <col min="265" max="265" width="3.85546875" style="10" customWidth="1"/>
    <col min="266" max="266" width="45.7109375" style="10" customWidth="1"/>
    <col min="267" max="269" width="0" style="10" hidden="1" customWidth="1"/>
    <col min="270" max="270" width="35.42578125" style="10" customWidth="1"/>
    <col min="271" max="271" width="25.85546875" style="10" customWidth="1"/>
    <col min="272" max="272" width="28.85546875" style="10" customWidth="1"/>
    <col min="273" max="273" width="30.42578125" style="10" customWidth="1"/>
    <col min="274" max="274" width="23.5703125" style="10" customWidth="1"/>
    <col min="275" max="275" width="24.42578125" style="10" customWidth="1"/>
    <col min="276" max="276" width="23" style="10" customWidth="1"/>
    <col min="277" max="277" width="26.85546875" style="10" customWidth="1"/>
    <col min="278" max="278" width="29" style="10" customWidth="1"/>
    <col min="279" max="279" width="34.140625" style="10" customWidth="1"/>
    <col min="280" max="280" width="29" style="10" customWidth="1"/>
    <col min="281" max="281" width="25" style="10" customWidth="1"/>
    <col min="282" max="282" width="36.28515625" style="10" customWidth="1"/>
    <col min="283" max="283" width="36.140625" style="10" customWidth="1"/>
    <col min="284" max="284" width="31.5703125" style="10" customWidth="1"/>
    <col min="285" max="285" width="0" style="10" hidden="1" customWidth="1"/>
    <col min="286" max="286" width="35.28515625" style="10" customWidth="1"/>
    <col min="287" max="287" width="31" style="10" customWidth="1"/>
    <col min="288" max="288" width="34.7109375" style="10" customWidth="1"/>
    <col min="289" max="289" width="31.42578125" style="10" customWidth="1"/>
    <col min="290" max="290" width="22.5703125" style="10" customWidth="1"/>
    <col min="291" max="294" width="0" style="10" hidden="1" customWidth="1"/>
    <col min="295" max="295" width="3" style="10" customWidth="1"/>
    <col min="296" max="296" width="26.85546875" style="10" customWidth="1"/>
    <col min="297" max="297" width="29.85546875" style="10" customWidth="1"/>
    <col min="298" max="298" width="32.7109375" style="10" customWidth="1"/>
    <col min="299" max="299" width="34.85546875" style="10" customWidth="1"/>
    <col min="300" max="300" width="30.42578125" style="10" customWidth="1"/>
    <col min="301" max="301" width="13.85546875" style="10" customWidth="1"/>
    <col min="302" max="302" width="39.42578125" style="10" customWidth="1"/>
    <col min="303" max="303" width="23.5703125" style="10" customWidth="1"/>
    <col min="304" max="512" width="11.42578125" style="10"/>
    <col min="513" max="513" width="3.85546875" style="10" customWidth="1"/>
    <col min="514" max="514" width="8.5703125" style="10" customWidth="1"/>
    <col min="515" max="515" width="8.140625" style="10" customWidth="1"/>
    <col min="516" max="519" width="3.85546875" style="10" customWidth="1"/>
    <col min="520" max="520" width="12.42578125" style="10" customWidth="1"/>
    <col min="521" max="521" width="3.85546875" style="10" customWidth="1"/>
    <col min="522" max="522" width="45.7109375" style="10" customWidth="1"/>
    <col min="523" max="525" width="0" style="10" hidden="1" customWidth="1"/>
    <col min="526" max="526" width="35.42578125" style="10" customWidth="1"/>
    <col min="527" max="527" width="25.85546875" style="10" customWidth="1"/>
    <col min="528" max="528" width="28.85546875" style="10" customWidth="1"/>
    <col min="529" max="529" width="30.42578125" style="10" customWidth="1"/>
    <col min="530" max="530" width="23.5703125" style="10" customWidth="1"/>
    <col min="531" max="531" width="24.42578125" style="10" customWidth="1"/>
    <col min="532" max="532" width="23" style="10" customWidth="1"/>
    <col min="533" max="533" width="26.85546875" style="10" customWidth="1"/>
    <col min="534" max="534" width="29" style="10" customWidth="1"/>
    <col min="535" max="535" width="34.140625" style="10" customWidth="1"/>
    <col min="536" max="536" width="29" style="10" customWidth="1"/>
    <col min="537" max="537" width="25" style="10" customWidth="1"/>
    <col min="538" max="538" width="36.28515625" style="10" customWidth="1"/>
    <col min="539" max="539" width="36.140625" style="10" customWidth="1"/>
    <col min="540" max="540" width="31.5703125" style="10" customWidth="1"/>
    <col min="541" max="541" width="0" style="10" hidden="1" customWidth="1"/>
    <col min="542" max="542" width="35.28515625" style="10" customWidth="1"/>
    <col min="543" max="543" width="31" style="10" customWidth="1"/>
    <col min="544" max="544" width="34.7109375" style="10" customWidth="1"/>
    <col min="545" max="545" width="31.42578125" style="10" customWidth="1"/>
    <col min="546" max="546" width="22.5703125" style="10" customWidth="1"/>
    <col min="547" max="550" width="0" style="10" hidden="1" customWidth="1"/>
    <col min="551" max="551" width="3" style="10" customWidth="1"/>
    <col min="552" max="552" width="26.85546875" style="10" customWidth="1"/>
    <col min="553" max="553" width="29.85546875" style="10" customWidth="1"/>
    <col min="554" max="554" width="32.7109375" style="10" customWidth="1"/>
    <col min="555" max="555" width="34.85546875" style="10" customWidth="1"/>
    <col min="556" max="556" width="30.42578125" style="10" customWidth="1"/>
    <col min="557" max="557" width="13.85546875" style="10" customWidth="1"/>
    <col min="558" max="558" width="39.42578125" style="10" customWidth="1"/>
    <col min="559" max="559" width="23.5703125" style="10" customWidth="1"/>
    <col min="560" max="768" width="11.42578125" style="10"/>
    <col min="769" max="769" width="3.85546875" style="10" customWidth="1"/>
    <col min="770" max="770" width="8.5703125" style="10" customWidth="1"/>
    <col min="771" max="771" width="8.140625" style="10" customWidth="1"/>
    <col min="772" max="775" width="3.85546875" style="10" customWidth="1"/>
    <col min="776" max="776" width="12.42578125" style="10" customWidth="1"/>
    <col min="777" max="777" width="3.85546875" style="10" customWidth="1"/>
    <col min="778" max="778" width="45.7109375" style="10" customWidth="1"/>
    <col min="779" max="781" width="0" style="10" hidden="1" customWidth="1"/>
    <col min="782" max="782" width="35.42578125" style="10" customWidth="1"/>
    <col min="783" max="783" width="25.85546875" style="10" customWidth="1"/>
    <col min="784" max="784" width="28.85546875" style="10" customWidth="1"/>
    <col min="785" max="785" width="30.42578125" style="10" customWidth="1"/>
    <col min="786" max="786" width="23.5703125" style="10" customWidth="1"/>
    <col min="787" max="787" width="24.42578125" style="10" customWidth="1"/>
    <col min="788" max="788" width="23" style="10" customWidth="1"/>
    <col min="789" max="789" width="26.85546875" style="10" customWidth="1"/>
    <col min="790" max="790" width="29" style="10" customWidth="1"/>
    <col min="791" max="791" width="34.140625" style="10" customWidth="1"/>
    <col min="792" max="792" width="29" style="10" customWidth="1"/>
    <col min="793" max="793" width="25" style="10" customWidth="1"/>
    <col min="794" max="794" width="36.28515625" style="10" customWidth="1"/>
    <col min="795" max="795" width="36.140625" style="10" customWidth="1"/>
    <col min="796" max="796" width="31.5703125" style="10" customWidth="1"/>
    <col min="797" max="797" width="0" style="10" hidden="1" customWidth="1"/>
    <col min="798" max="798" width="35.28515625" style="10" customWidth="1"/>
    <col min="799" max="799" width="31" style="10" customWidth="1"/>
    <col min="800" max="800" width="34.7109375" style="10" customWidth="1"/>
    <col min="801" max="801" width="31.42578125" style="10" customWidth="1"/>
    <col min="802" max="802" width="22.5703125" style="10" customWidth="1"/>
    <col min="803" max="806" width="0" style="10" hidden="1" customWidth="1"/>
    <col min="807" max="807" width="3" style="10" customWidth="1"/>
    <col min="808" max="808" width="26.85546875" style="10" customWidth="1"/>
    <col min="809" max="809" width="29.85546875" style="10" customWidth="1"/>
    <col min="810" max="810" width="32.7109375" style="10" customWidth="1"/>
    <col min="811" max="811" width="34.85546875" style="10" customWidth="1"/>
    <col min="812" max="812" width="30.42578125" style="10" customWidth="1"/>
    <col min="813" max="813" width="13.85546875" style="10" customWidth="1"/>
    <col min="814" max="814" width="39.42578125" style="10" customWidth="1"/>
    <col min="815" max="815" width="23.5703125" style="10" customWidth="1"/>
    <col min="816" max="1024" width="11.42578125" style="10"/>
    <col min="1025" max="1025" width="3.85546875" style="10" customWidth="1"/>
    <col min="1026" max="1026" width="8.5703125" style="10" customWidth="1"/>
    <col min="1027" max="1027" width="8.140625" style="10" customWidth="1"/>
    <col min="1028" max="1031" width="3.85546875" style="10" customWidth="1"/>
    <col min="1032" max="1032" width="12.42578125" style="10" customWidth="1"/>
    <col min="1033" max="1033" width="3.85546875" style="10" customWidth="1"/>
    <col min="1034" max="1034" width="45.7109375" style="10" customWidth="1"/>
    <col min="1035" max="1037" width="0" style="10" hidden="1" customWidth="1"/>
    <col min="1038" max="1038" width="35.42578125" style="10" customWidth="1"/>
    <col min="1039" max="1039" width="25.85546875" style="10" customWidth="1"/>
    <col min="1040" max="1040" width="28.85546875" style="10" customWidth="1"/>
    <col min="1041" max="1041" width="30.42578125" style="10" customWidth="1"/>
    <col min="1042" max="1042" width="23.5703125" style="10" customWidth="1"/>
    <col min="1043" max="1043" width="24.42578125" style="10" customWidth="1"/>
    <col min="1044" max="1044" width="23" style="10" customWidth="1"/>
    <col min="1045" max="1045" width="26.85546875" style="10" customWidth="1"/>
    <col min="1046" max="1046" width="29" style="10" customWidth="1"/>
    <col min="1047" max="1047" width="34.140625" style="10" customWidth="1"/>
    <col min="1048" max="1048" width="29" style="10" customWidth="1"/>
    <col min="1049" max="1049" width="25" style="10" customWidth="1"/>
    <col min="1050" max="1050" width="36.28515625" style="10" customWidth="1"/>
    <col min="1051" max="1051" width="36.140625" style="10" customWidth="1"/>
    <col min="1052" max="1052" width="31.5703125" style="10" customWidth="1"/>
    <col min="1053" max="1053" width="0" style="10" hidden="1" customWidth="1"/>
    <col min="1054" max="1054" width="35.28515625" style="10" customWidth="1"/>
    <col min="1055" max="1055" width="31" style="10" customWidth="1"/>
    <col min="1056" max="1056" width="34.7109375" style="10" customWidth="1"/>
    <col min="1057" max="1057" width="31.42578125" style="10" customWidth="1"/>
    <col min="1058" max="1058" width="22.5703125" style="10" customWidth="1"/>
    <col min="1059" max="1062" width="0" style="10" hidden="1" customWidth="1"/>
    <col min="1063" max="1063" width="3" style="10" customWidth="1"/>
    <col min="1064" max="1064" width="26.85546875" style="10" customWidth="1"/>
    <col min="1065" max="1065" width="29.85546875" style="10" customWidth="1"/>
    <col min="1066" max="1066" width="32.7109375" style="10" customWidth="1"/>
    <col min="1067" max="1067" width="34.85546875" style="10" customWidth="1"/>
    <col min="1068" max="1068" width="30.42578125" style="10" customWidth="1"/>
    <col min="1069" max="1069" width="13.85546875" style="10" customWidth="1"/>
    <col min="1070" max="1070" width="39.42578125" style="10" customWidth="1"/>
    <col min="1071" max="1071" width="23.5703125" style="10" customWidth="1"/>
    <col min="1072" max="1280" width="11.42578125" style="10"/>
    <col min="1281" max="1281" width="3.85546875" style="10" customWidth="1"/>
    <col min="1282" max="1282" width="8.5703125" style="10" customWidth="1"/>
    <col min="1283" max="1283" width="8.140625" style="10" customWidth="1"/>
    <col min="1284" max="1287" width="3.85546875" style="10" customWidth="1"/>
    <col min="1288" max="1288" width="12.42578125" style="10" customWidth="1"/>
    <col min="1289" max="1289" width="3.85546875" style="10" customWidth="1"/>
    <col min="1290" max="1290" width="45.7109375" style="10" customWidth="1"/>
    <col min="1291" max="1293" width="0" style="10" hidden="1" customWidth="1"/>
    <col min="1294" max="1294" width="35.42578125" style="10" customWidth="1"/>
    <col min="1295" max="1295" width="25.85546875" style="10" customWidth="1"/>
    <col min="1296" max="1296" width="28.85546875" style="10" customWidth="1"/>
    <col min="1297" max="1297" width="30.42578125" style="10" customWidth="1"/>
    <col min="1298" max="1298" width="23.5703125" style="10" customWidth="1"/>
    <col min="1299" max="1299" width="24.42578125" style="10" customWidth="1"/>
    <col min="1300" max="1300" width="23" style="10" customWidth="1"/>
    <col min="1301" max="1301" width="26.85546875" style="10" customWidth="1"/>
    <col min="1302" max="1302" width="29" style="10" customWidth="1"/>
    <col min="1303" max="1303" width="34.140625" style="10" customWidth="1"/>
    <col min="1304" max="1304" width="29" style="10" customWidth="1"/>
    <col min="1305" max="1305" width="25" style="10" customWidth="1"/>
    <col min="1306" max="1306" width="36.28515625" style="10" customWidth="1"/>
    <col min="1307" max="1307" width="36.140625" style="10" customWidth="1"/>
    <col min="1308" max="1308" width="31.5703125" style="10" customWidth="1"/>
    <col min="1309" max="1309" width="0" style="10" hidden="1" customWidth="1"/>
    <col min="1310" max="1310" width="35.28515625" style="10" customWidth="1"/>
    <col min="1311" max="1311" width="31" style="10" customWidth="1"/>
    <col min="1312" max="1312" width="34.7109375" style="10" customWidth="1"/>
    <col min="1313" max="1313" width="31.42578125" style="10" customWidth="1"/>
    <col min="1314" max="1314" width="22.5703125" style="10" customWidth="1"/>
    <col min="1315" max="1318" width="0" style="10" hidden="1" customWidth="1"/>
    <col min="1319" max="1319" width="3" style="10" customWidth="1"/>
    <col min="1320" max="1320" width="26.85546875" style="10" customWidth="1"/>
    <col min="1321" max="1321" width="29.85546875" style="10" customWidth="1"/>
    <col min="1322" max="1322" width="32.7109375" style="10" customWidth="1"/>
    <col min="1323" max="1323" width="34.85546875" style="10" customWidth="1"/>
    <col min="1324" max="1324" width="30.42578125" style="10" customWidth="1"/>
    <col min="1325" max="1325" width="13.85546875" style="10" customWidth="1"/>
    <col min="1326" max="1326" width="39.42578125" style="10" customWidth="1"/>
    <col min="1327" max="1327" width="23.5703125" style="10" customWidth="1"/>
    <col min="1328" max="1536" width="11.42578125" style="10"/>
    <col min="1537" max="1537" width="3.85546875" style="10" customWidth="1"/>
    <col min="1538" max="1538" width="8.5703125" style="10" customWidth="1"/>
    <col min="1539" max="1539" width="8.140625" style="10" customWidth="1"/>
    <col min="1540" max="1543" width="3.85546875" style="10" customWidth="1"/>
    <col min="1544" max="1544" width="12.42578125" style="10" customWidth="1"/>
    <col min="1545" max="1545" width="3.85546875" style="10" customWidth="1"/>
    <col min="1546" max="1546" width="45.7109375" style="10" customWidth="1"/>
    <col min="1547" max="1549" width="0" style="10" hidden="1" customWidth="1"/>
    <col min="1550" max="1550" width="35.42578125" style="10" customWidth="1"/>
    <col min="1551" max="1551" width="25.85546875" style="10" customWidth="1"/>
    <col min="1552" max="1552" width="28.85546875" style="10" customWidth="1"/>
    <col min="1553" max="1553" width="30.42578125" style="10" customWidth="1"/>
    <col min="1554" max="1554" width="23.5703125" style="10" customWidth="1"/>
    <col min="1555" max="1555" width="24.42578125" style="10" customWidth="1"/>
    <col min="1556" max="1556" width="23" style="10" customWidth="1"/>
    <col min="1557" max="1557" width="26.85546875" style="10" customWidth="1"/>
    <col min="1558" max="1558" width="29" style="10" customWidth="1"/>
    <col min="1559" max="1559" width="34.140625" style="10" customWidth="1"/>
    <col min="1560" max="1560" width="29" style="10" customWidth="1"/>
    <col min="1561" max="1561" width="25" style="10" customWidth="1"/>
    <col min="1562" max="1562" width="36.28515625" style="10" customWidth="1"/>
    <col min="1563" max="1563" width="36.140625" style="10" customWidth="1"/>
    <col min="1564" max="1564" width="31.5703125" style="10" customWidth="1"/>
    <col min="1565" max="1565" width="0" style="10" hidden="1" customWidth="1"/>
    <col min="1566" max="1566" width="35.28515625" style="10" customWidth="1"/>
    <col min="1567" max="1567" width="31" style="10" customWidth="1"/>
    <col min="1568" max="1568" width="34.7109375" style="10" customWidth="1"/>
    <col min="1569" max="1569" width="31.42578125" style="10" customWidth="1"/>
    <col min="1570" max="1570" width="22.5703125" style="10" customWidth="1"/>
    <col min="1571" max="1574" width="0" style="10" hidden="1" customWidth="1"/>
    <col min="1575" max="1575" width="3" style="10" customWidth="1"/>
    <col min="1576" max="1576" width="26.85546875" style="10" customWidth="1"/>
    <col min="1577" max="1577" width="29.85546875" style="10" customWidth="1"/>
    <col min="1578" max="1578" width="32.7109375" style="10" customWidth="1"/>
    <col min="1579" max="1579" width="34.85546875" style="10" customWidth="1"/>
    <col min="1580" max="1580" width="30.42578125" style="10" customWidth="1"/>
    <col min="1581" max="1581" width="13.85546875" style="10" customWidth="1"/>
    <col min="1582" max="1582" width="39.42578125" style="10" customWidth="1"/>
    <col min="1583" max="1583" width="23.5703125" style="10" customWidth="1"/>
    <col min="1584" max="1792" width="11.42578125" style="10"/>
    <col min="1793" max="1793" width="3.85546875" style="10" customWidth="1"/>
    <col min="1794" max="1794" width="8.5703125" style="10" customWidth="1"/>
    <col min="1795" max="1795" width="8.140625" style="10" customWidth="1"/>
    <col min="1796" max="1799" width="3.85546875" style="10" customWidth="1"/>
    <col min="1800" max="1800" width="12.42578125" style="10" customWidth="1"/>
    <col min="1801" max="1801" width="3.85546875" style="10" customWidth="1"/>
    <col min="1802" max="1802" width="45.7109375" style="10" customWidth="1"/>
    <col min="1803" max="1805" width="0" style="10" hidden="1" customWidth="1"/>
    <col min="1806" max="1806" width="35.42578125" style="10" customWidth="1"/>
    <col min="1807" max="1807" width="25.85546875" style="10" customWidth="1"/>
    <col min="1808" max="1808" width="28.85546875" style="10" customWidth="1"/>
    <col min="1809" max="1809" width="30.42578125" style="10" customWidth="1"/>
    <col min="1810" max="1810" width="23.5703125" style="10" customWidth="1"/>
    <col min="1811" max="1811" width="24.42578125" style="10" customWidth="1"/>
    <col min="1812" max="1812" width="23" style="10" customWidth="1"/>
    <col min="1813" max="1813" width="26.85546875" style="10" customWidth="1"/>
    <col min="1814" max="1814" width="29" style="10" customWidth="1"/>
    <col min="1815" max="1815" width="34.140625" style="10" customWidth="1"/>
    <col min="1816" max="1816" width="29" style="10" customWidth="1"/>
    <col min="1817" max="1817" width="25" style="10" customWidth="1"/>
    <col min="1818" max="1818" width="36.28515625" style="10" customWidth="1"/>
    <col min="1819" max="1819" width="36.140625" style="10" customWidth="1"/>
    <col min="1820" max="1820" width="31.5703125" style="10" customWidth="1"/>
    <col min="1821" max="1821" width="0" style="10" hidden="1" customWidth="1"/>
    <col min="1822" max="1822" width="35.28515625" style="10" customWidth="1"/>
    <col min="1823" max="1823" width="31" style="10" customWidth="1"/>
    <col min="1824" max="1824" width="34.7109375" style="10" customWidth="1"/>
    <col min="1825" max="1825" width="31.42578125" style="10" customWidth="1"/>
    <col min="1826" max="1826" width="22.5703125" style="10" customWidth="1"/>
    <col min="1827" max="1830" width="0" style="10" hidden="1" customWidth="1"/>
    <col min="1831" max="1831" width="3" style="10" customWidth="1"/>
    <col min="1832" max="1832" width="26.85546875" style="10" customWidth="1"/>
    <col min="1833" max="1833" width="29.85546875" style="10" customWidth="1"/>
    <col min="1834" max="1834" width="32.7109375" style="10" customWidth="1"/>
    <col min="1835" max="1835" width="34.85546875" style="10" customWidth="1"/>
    <col min="1836" max="1836" width="30.42578125" style="10" customWidth="1"/>
    <col min="1837" max="1837" width="13.85546875" style="10" customWidth="1"/>
    <col min="1838" max="1838" width="39.42578125" style="10" customWidth="1"/>
    <col min="1839" max="1839" width="23.5703125" style="10" customWidth="1"/>
    <col min="1840" max="2048" width="11.42578125" style="10"/>
    <col min="2049" max="2049" width="3.85546875" style="10" customWidth="1"/>
    <col min="2050" max="2050" width="8.5703125" style="10" customWidth="1"/>
    <col min="2051" max="2051" width="8.140625" style="10" customWidth="1"/>
    <col min="2052" max="2055" width="3.85546875" style="10" customWidth="1"/>
    <col min="2056" max="2056" width="12.42578125" style="10" customWidth="1"/>
    <col min="2057" max="2057" width="3.85546875" style="10" customWidth="1"/>
    <col min="2058" max="2058" width="45.7109375" style="10" customWidth="1"/>
    <col min="2059" max="2061" width="0" style="10" hidden="1" customWidth="1"/>
    <col min="2062" max="2062" width="35.42578125" style="10" customWidth="1"/>
    <col min="2063" max="2063" width="25.85546875" style="10" customWidth="1"/>
    <col min="2064" max="2064" width="28.85546875" style="10" customWidth="1"/>
    <col min="2065" max="2065" width="30.42578125" style="10" customWidth="1"/>
    <col min="2066" max="2066" width="23.5703125" style="10" customWidth="1"/>
    <col min="2067" max="2067" width="24.42578125" style="10" customWidth="1"/>
    <col min="2068" max="2068" width="23" style="10" customWidth="1"/>
    <col min="2069" max="2069" width="26.85546875" style="10" customWidth="1"/>
    <col min="2070" max="2070" width="29" style="10" customWidth="1"/>
    <col min="2071" max="2071" width="34.140625" style="10" customWidth="1"/>
    <col min="2072" max="2072" width="29" style="10" customWidth="1"/>
    <col min="2073" max="2073" width="25" style="10" customWidth="1"/>
    <col min="2074" max="2074" width="36.28515625" style="10" customWidth="1"/>
    <col min="2075" max="2075" width="36.140625" style="10" customWidth="1"/>
    <col min="2076" max="2076" width="31.5703125" style="10" customWidth="1"/>
    <col min="2077" max="2077" width="0" style="10" hidden="1" customWidth="1"/>
    <col min="2078" max="2078" width="35.28515625" style="10" customWidth="1"/>
    <col min="2079" max="2079" width="31" style="10" customWidth="1"/>
    <col min="2080" max="2080" width="34.7109375" style="10" customWidth="1"/>
    <col min="2081" max="2081" width="31.42578125" style="10" customWidth="1"/>
    <col min="2082" max="2082" width="22.5703125" style="10" customWidth="1"/>
    <col min="2083" max="2086" width="0" style="10" hidden="1" customWidth="1"/>
    <col min="2087" max="2087" width="3" style="10" customWidth="1"/>
    <col min="2088" max="2088" width="26.85546875" style="10" customWidth="1"/>
    <col min="2089" max="2089" width="29.85546875" style="10" customWidth="1"/>
    <col min="2090" max="2090" width="32.7109375" style="10" customWidth="1"/>
    <col min="2091" max="2091" width="34.85546875" style="10" customWidth="1"/>
    <col min="2092" max="2092" width="30.42578125" style="10" customWidth="1"/>
    <col min="2093" max="2093" width="13.85546875" style="10" customWidth="1"/>
    <col min="2094" max="2094" width="39.42578125" style="10" customWidth="1"/>
    <col min="2095" max="2095" width="23.5703125" style="10" customWidth="1"/>
    <col min="2096" max="2304" width="11.42578125" style="10"/>
    <col min="2305" max="2305" width="3.85546875" style="10" customWidth="1"/>
    <col min="2306" max="2306" width="8.5703125" style="10" customWidth="1"/>
    <col min="2307" max="2307" width="8.140625" style="10" customWidth="1"/>
    <col min="2308" max="2311" width="3.85546875" style="10" customWidth="1"/>
    <col min="2312" max="2312" width="12.42578125" style="10" customWidth="1"/>
    <col min="2313" max="2313" width="3.85546875" style="10" customWidth="1"/>
    <col min="2314" max="2314" width="45.7109375" style="10" customWidth="1"/>
    <col min="2315" max="2317" width="0" style="10" hidden="1" customWidth="1"/>
    <col min="2318" max="2318" width="35.42578125" style="10" customWidth="1"/>
    <col min="2319" max="2319" width="25.85546875" style="10" customWidth="1"/>
    <col min="2320" max="2320" width="28.85546875" style="10" customWidth="1"/>
    <col min="2321" max="2321" width="30.42578125" style="10" customWidth="1"/>
    <col min="2322" max="2322" width="23.5703125" style="10" customWidth="1"/>
    <col min="2323" max="2323" width="24.42578125" style="10" customWidth="1"/>
    <col min="2324" max="2324" width="23" style="10" customWidth="1"/>
    <col min="2325" max="2325" width="26.85546875" style="10" customWidth="1"/>
    <col min="2326" max="2326" width="29" style="10" customWidth="1"/>
    <col min="2327" max="2327" width="34.140625" style="10" customWidth="1"/>
    <col min="2328" max="2328" width="29" style="10" customWidth="1"/>
    <col min="2329" max="2329" width="25" style="10" customWidth="1"/>
    <col min="2330" max="2330" width="36.28515625" style="10" customWidth="1"/>
    <col min="2331" max="2331" width="36.140625" style="10" customWidth="1"/>
    <col min="2332" max="2332" width="31.5703125" style="10" customWidth="1"/>
    <col min="2333" max="2333" width="0" style="10" hidden="1" customWidth="1"/>
    <col min="2334" max="2334" width="35.28515625" style="10" customWidth="1"/>
    <col min="2335" max="2335" width="31" style="10" customWidth="1"/>
    <col min="2336" max="2336" width="34.7109375" style="10" customWidth="1"/>
    <col min="2337" max="2337" width="31.42578125" style="10" customWidth="1"/>
    <col min="2338" max="2338" width="22.5703125" style="10" customWidth="1"/>
    <col min="2339" max="2342" width="0" style="10" hidden="1" customWidth="1"/>
    <col min="2343" max="2343" width="3" style="10" customWidth="1"/>
    <col min="2344" max="2344" width="26.85546875" style="10" customWidth="1"/>
    <col min="2345" max="2345" width="29.85546875" style="10" customWidth="1"/>
    <col min="2346" max="2346" width="32.7109375" style="10" customWidth="1"/>
    <col min="2347" max="2347" width="34.85546875" style="10" customWidth="1"/>
    <col min="2348" max="2348" width="30.42578125" style="10" customWidth="1"/>
    <col min="2349" max="2349" width="13.85546875" style="10" customWidth="1"/>
    <col min="2350" max="2350" width="39.42578125" style="10" customWidth="1"/>
    <col min="2351" max="2351" width="23.5703125" style="10" customWidth="1"/>
    <col min="2352" max="2560" width="11.42578125" style="10"/>
    <col min="2561" max="2561" width="3.85546875" style="10" customWidth="1"/>
    <col min="2562" max="2562" width="8.5703125" style="10" customWidth="1"/>
    <col min="2563" max="2563" width="8.140625" style="10" customWidth="1"/>
    <col min="2564" max="2567" width="3.85546875" style="10" customWidth="1"/>
    <col min="2568" max="2568" width="12.42578125" style="10" customWidth="1"/>
    <col min="2569" max="2569" width="3.85546875" style="10" customWidth="1"/>
    <col min="2570" max="2570" width="45.7109375" style="10" customWidth="1"/>
    <col min="2571" max="2573" width="0" style="10" hidden="1" customWidth="1"/>
    <col min="2574" max="2574" width="35.42578125" style="10" customWidth="1"/>
    <col min="2575" max="2575" width="25.85546875" style="10" customWidth="1"/>
    <col min="2576" max="2576" width="28.85546875" style="10" customWidth="1"/>
    <col min="2577" max="2577" width="30.42578125" style="10" customWidth="1"/>
    <col min="2578" max="2578" width="23.5703125" style="10" customWidth="1"/>
    <col min="2579" max="2579" width="24.42578125" style="10" customWidth="1"/>
    <col min="2580" max="2580" width="23" style="10" customWidth="1"/>
    <col min="2581" max="2581" width="26.85546875" style="10" customWidth="1"/>
    <col min="2582" max="2582" width="29" style="10" customWidth="1"/>
    <col min="2583" max="2583" width="34.140625" style="10" customWidth="1"/>
    <col min="2584" max="2584" width="29" style="10" customWidth="1"/>
    <col min="2585" max="2585" width="25" style="10" customWidth="1"/>
    <col min="2586" max="2586" width="36.28515625" style="10" customWidth="1"/>
    <col min="2587" max="2587" width="36.140625" style="10" customWidth="1"/>
    <col min="2588" max="2588" width="31.5703125" style="10" customWidth="1"/>
    <col min="2589" max="2589" width="0" style="10" hidden="1" customWidth="1"/>
    <col min="2590" max="2590" width="35.28515625" style="10" customWidth="1"/>
    <col min="2591" max="2591" width="31" style="10" customWidth="1"/>
    <col min="2592" max="2592" width="34.7109375" style="10" customWidth="1"/>
    <col min="2593" max="2593" width="31.42578125" style="10" customWidth="1"/>
    <col min="2594" max="2594" width="22.5703125" style="10" customWidth="1"/>
    <col min="2595" max="2598" width="0" style="10" hidden="1" customWidth="1"/>
    <col min="2599" max="2599" width="3" style="10" customWidth="1"/>
    <col min="2600" max="2600" width="26.85546875" style="10" customWidth="1"/>
    <col min="2601" max="2601" width="29.85546875" style="10" customWidth="1"/>
    <col min="2602" max="2602" width="32.7109375" style="10" customWidth="1"/>
    <col min="2603" max="2603" width="34.85546875" style="10" customWidth="1"/>
    <col min="2604" max="2604" width="30.42578125" style="10" customWidth="1"/>
    <col min="2605" max="2605" width="13.85546875" style="10" customWidth="1"/>
    <col min="2606" max="2606" width="39.42578125" style="10" customWidth="1"/>
    <col min="2607" max="2607" width="23.5703125" style="10" customWidth="1"/>
    <col min="2608" max="2816" width="11.42578125" style="10"/>
    <col min="2817" max="2817" width="3.85546875" style="10" customWidth="1"/>
    <col min="2818" max="2818" width="8.5703125" style="10" customWidth="1"/>
    <col min="2819" max="2819" width="8.140625" style="10" customWidth="1"/>
    <col min="2820" max="2823" width="3.85546875" style="10" customWidth="1"/>
    <col min="2824" max="2824" width="12.42578125" style="10" customWidth="1"/>
    <col min="2825" max="2825" width="3.85546875" style="10" customWidth="1"/>
    <col min="2826" max="2826" width="45.7109375" style="10" customWidth="1"/>
    <col min="2827" max="2829" width="0" style="10" hidden="1" customWidth="1"/>
    <col min="2830" max="2830" width="35.42578125" style="10" customWidth="1"/>
    <col min="2831" max="2831" width="25.85546875" style="10" customWidth="1"/>
    <col min="2832" max="2832" width="28.85546875" style="10" customWidth="1"/>
    <col min="2833" max="2833" width="30.42578125" style="10" customWidth="1"/>
    <col min="2834" max="2834" width="23.5703125" style="10" customWidth="1"/>
    <col min="2835" max="2835" width="24.42578125" style="10" customWidth="1"/>
    <col min="2836" max="2836" width="23" style="10" customWidth="1"/>
    <col min="2837" max="2837" width="26.85546875" style="10" customWidth="1"/>
    <col min="2838" max="2838" width="29" style="10" customWidth="1"/>
    <col min="2839" max="2839" width="34.140625" style="10" customWidth="1"/>
    <col min="2840" max="2840" width="29" style="10" customWidth="1"/>
    <col min="2841" max="2841" width="25" style="10" customWidth="1"/>
    <col min="2842" max="2842" width="36.28515625" style="10" customWidth="1"/>
    <col min="2843" max="2843" width="36.140625" style="10" customWidth="1"/>
    <col min="2844" max="2844" width="31.5703125" style="10" customWidth="1"/>
    <col min="2845" max="2845" width="0" style="10" hidden="1" customWidth="1"/>
    <col min="2846" max="2846" width="35.28515625" style="10" customWidth="1"/>
    <col min="2847" max="2847" width="31" style="10" customWidth="1"/>
    <col min="2848" max="2848" width="34.7109375" style="10" customWidth="1"/>
    <col min="2849" max="2849" width="31.42578125" style="10" customWidth="1"/>
    <col min="2850" max="2850" width="22.5703125" style="10" customWidth="1"/>
    <col min="2851" max="2854" width="0" style="10" hidden="1" customWidth="1"/>
    <col min="2855" max="2855" width="3" style="10" customWidth="1"/>
    <col min="2856" max="2856" width="26.85546875" style="10" customWidth="1"/>
    <col min="2857" max="2857" width="29.85546875" style="10" customWidth="1"/>
    <col min="2858" max="2858" width="32.7109375" style="10" customWidth="1"/>
    <col min="2859" max="2859" width="34.85546875" style="10" customWidth="1"/>
    <col min="2860" max="2860" width="30.42578125" style="10" customWidth="1"/>
    <col min="2861" max="2861" width="13.85546875" style="10" customWidth="1"/>
    <col min="2862" max="2862" width="39.42578125" style="10" customWidth="1"/>
    <col min="2863" max="2863" width="23.5703125" style="10" customWidth="1"/>
    <col min="2864" max="3072" width="11.42578125" style="10"/>
    <col min="3073" max="3073" width="3.85546875" style="10" customWidth="1"/>
    <col min="3074" max="3074" width="8.5703125" style="10" customWidth="1"/>
    <col min="3075" max="3075" width="8.140625" style="10" customWidth="1"/>
    <col min="3076" max="3079" width="3.85546875" style="10" customWidth="1"/>
    <col min="3080" max="3080" width="12.42578125" style="10" customWidth="1"/>
    <col min="3081" max="3081" width="3.85546875" style="10" customWidth="1"/>
    <col min="3082" max="3082" width="45.7109375" style="10" customWidth="1"/>
    <col min="3083" max="3085" width="0" style="10" hidden="1" customWidth="1"/>
    <col min="3086" max="3086" width="35.42578125" style="10" customWidth="1"/>
    <col min="3087" max="3087" width="25.85546875" style="10" customWidth="1"/>
    <col min="3088" max="3088" width="28.85546875" style="10" customWidth="1"/>
    <col min="3089" max="3089" width="30.42578125" style="10" customWidth="1"/>
    <col min="3090" max="3090" width="23.5703125" style="10" customWidth="1"/>
    <col min="3091" max="3091" width="24.42578125" style="10" customWidth="1"/>
    <col min="3092" max="3092" width="23" style="10" customWidth="1"/>
    <col min="3093" max="3093" width="26.85546875" style="10" customWidth="1"/>
    <col min="3094" max="3094" width="29" style="10" customWidth="1"/>
    <col min="3095" max="3095" width="34.140625" style="10" customWidth="1"/>
    <col min="3096" max="3096" width="29" style="10" customWidth="1"/>
    <col min="3097" max="3097" width="25" style="10" customWidth="1"/>
    <col min="3098" max="3098" width="36.28515625" style="10" customWidth="1"/>
    <col min="3099" max="3099" width="36.140625" style="10" customWidth="1"/>
    <col min="3100" max="3100" width="31.5703125" style="10" customWidth="1"/>
    <col min="3101" max="3101" width="0" style="10" hidden="1" customWidth="1"/>
    <col min="3102" max="3102" width="35.28515625" style="10" customWidth="1"/>
    <col min="3103" max="3103" width="31" style="10" customWidth="1"/>
    <col min="3104" max="3104" width="34.7109375" style="10" customWidth="1"/>
    <col min="3105" max="3105" width="31.42578125" style="10" customWidth="1"/>
    <col min="3106" max="3106" width="22.5703125" style="10" customWidth="1"/>
    <col min="3107" max="3110" width="0" style="10" hidden="1" customWidth="1"/>
    <col min="3111" max="3111" width="3" style="10" customWidth="1"/>
    <col min="3112" max="3112" width="26.85546875" style="10" customWidth="1"/>
    <col min="3113" max="3113" width="29.85546875" style="10" customWidth="1"/>
    <col min="3114" max="3114" width="32.7109375" style="10" customWidth="1"/>
    <col min="3115" max="3115" width="34.85546875" style="10" customWidth="1"/>
    <col min="3116" max="3116" width="30.42578125" style="10" customWidth="1"/>
    <col min="3117" max="3117" width="13.85546875" style="10" customWidth="1"/>
    <col min="3118" max="3118" width="39.42578125" style="10" customWidth="1"/>
    <col min="3119" max="3119" width="23.5703125" style="10" customWidth="1"/>
    <col min="3120" max="3328" width="11.42578125" style="10"/>
    <col min="3329" max="3329" width="3.85546875" style="10" customWidth="1"/>
    <col min="3330" max="3330" width="8.5703125" style="10" customWidth="1"/>
    <col min="3331" max="3331" width="8.140625" style="10" customWidth="1"/>
    <col min="3332" max="3335" width="3.85546875" style="10" customWidth="1"/>
    <col min="3336" max="3336" width="12.42578125" style="10" customWidth="1"/>
    <col min="3337" max="3337" width="3.85546875" style="10" customWidth="1"/>
    <col min="3338" max="3338" width="45.7109375" style="10" customWidth="1"/>
    <col min="3339" max="3341" width="0" style="10" hidden="1" customWidth="1"/>
    <col min="3342" max="3342" width="35.42578125" style="10" customWidth="1"/>
    <col min="3343" max="3343" width="25.85546875" style="10" customWidth="1"/>
    <col min="3344" max="3344" width="28.85546875" style="10" customWidth="1"/>
    <col min="3345" max="3345" width="30.42578125" style="10" customWidth="1"/>
    <col min="3346" max="3346" width="23.5703125" style="10" customWidth="1"/>
    <col min="3347" max="3347" width="24.42578125" style="10" customWidth="1"/>
    <col min="3348" max="3348" width="23" style="10" customWidth="1"/>
    <col min="3349" max="3349" width="26.85546875" style="10" customWidth="1"/>
    <col min="3350" max="3350" width="29" style="10" customWidth="1"/>
    <col min="3351" max="3351" width="34.140625" style="10" customWidth="1"/>
    <col min="3352" max="3352" width="29" style="10" customWidth="1"/>
    <col min="3353" max="3353" width="25" style="10" customWidth="1"/>
    <col min="3354" max="3354" width="36.28515625" style="10" customWidth="1"/>
    <col min="3355" max="3355" width="36.140625" style="10" customWidth="1"/>
    <col min="3356" max="3356" width="31.5703125" style="10" customWidth="1"/>
    <col min="3357" max="3357" width="0" style="10" hidden="1" customWidth="1"/>
    <col min="3358" max="3358" width="35.28515625" style="10" customWidth="1"/>
    <col min="3359" max="3359" width="31" style="10" customWidth="1"/>
    <col min="3360" max="3360" width="34.7109375" style="10" customWidth="1"/>
    <col min="3361" max="3361" width="31.42578125" style="10" customWidth="1"/>
    <col min="3362" max="3362" width="22.5703125" style="10" customWidth="1"/>
    <col min="3363" max="3366" width="0" style="10" hidden="1" customWidth="1"/>
    <col min="3367" max="3367" width="3" style="10" customWidth="1"/>
    <col min="3368" max="3368" width="26.85546875" style="10" customWidth="1"/>
    <col min="3369" max="3369" width="29.85546875" style="10" customWidth="1"/>
    <col min="3370" max="3370" width="32.7109375" style="10" customWidth="1"/>
    <col min="3371" max="3371" width="34.85546875" style="10" customWidth="1"/>
    <col min="3372" max="3372" width="30.42578125" style="10" customWidth="1"/>
    <col min="3373" max="3373" width="13.85546875" style="10" customWidth="1"/>
    <col min="3374" max="3374" width="39.42578125" style="10" customWidth="1"/>
    <col min="3375" max="3375" width="23.5703125" style="10" customWidth="1"/>
    <col min="3376" max="3584" width="11.42578125" style="10"/>
    <col min="3585" max="3585" width="3.85546875" style="10" customWidth="1"/>
    <col min="3586" max="3586" width="8.5703125" style="10" customWidth="1"/>
    <col min="3587" max="3587" width="8.140625" style="10" customWidth="1"/>
    <col min="3588" max="3591" width="3.85546875" style="10" customWidth="1"/>
    <col min="3592" max="3592" width="12.42578125" style="10" customWidth="1"/>
    <col min="3593" max="3593" width="3.85546875" style="10" customWidth="1"/>
    <col min="3594" max="3594" width="45.7109375" style="10" customWidth="1"/>
    <col min="3595" max="3597" width="0" style="10" hidden="1" customWidth="1"/>
    <col min="3598" max="3598" width="35.42578125" style="10" customWidth="1"/>
    <col min="3599" max="3599" width="25.85546875" style="10" customWidth="1"/>
    <col min="3600" max="3600" width="28.85546875" style="10" customWidth="1"/>
    <col min="3601" max="3601" width="30.42578125" style="10" customWidth="1"/>
    <col min="3602" max="3602" width="23.5703125" style="10" customWidth="1"/>
    <col min="3603" max="3603" width="24.42578125" style="10" customWidth="1"/>
    <col min="3604" max="3604" width="23" style="10" customWidth="1"/>
    <col min="3605" max="3605" width="26.85546875" style="10" customWidth="1"/>
    <col min="3606" max="3606" width="29" style="10" customWidth="1"/>
    <col min="3607" max="3607" width="34.140625" style="10" customWidth="1"/>
    <col min="3608" max="3608" width="29" style="10" customWidth="1"/>
    <col min="3609" max="3609" width="25" style="10" customWidth="1"/>
    <col min="3610" max="3610" width="36.28515625" style="10" customWidth="1"/>
    <col min="3611" max="3611" width="36.140625" style="10" customWidth="1"/>
    <col min="3612" max="3612" width="31.5703125" style="10" customWidth="1"/>
    <col min="3613" max="3613" width="0" style="10" hidden="1" customWidth="1"/>
    <col min="3614" max="3614" width="35.28515625" style="10" customWidth="1"/>
    <col min="3615" max="3615" width="31" style="10" customWidth="1"/>
    <col min="3616" max="3616" width="34.7109375" style="10" customWidth="1"/>
    <col min="3617" max="3617" width="31.42578125" style="10" customWidth="1"/>
    <col min="3618" max="3618" width="22.5703125" style="10" customWidth="1"/>
    <col min="3619" max="3622" width="0" style="10" hidden="1" customWidth="1"/>
    <col min="3623" max="3623" width="3" style="10" customWidth="1"/>
    <col min="3624" max="3624" width="26.85546875" style="10" customWidth="1"/>
    <col min="3625" max="3625" width="29.85546875" style="10" customWidth="1"/>
    <col min="3626" max="3626" width="32.7109375" style="10" customWidth="1"/>
    <col min="3627" max="3627" width="34.85546875" style="10" customWidth="1"/>
    <col min="3628" max="3628" width="30.42578125" style="10" customWidth="1"/>
    <col min="3629" max="3629" width="13.85546875" style="10" customWidth="1"/>
    <col min="3630" max="3630" width="39.42578125" style="10" customWidth="1"/>
    <col min="3631" max="3631" width="23.5703125" style="10" customWidth="1"/>
    <col min="3632" max="3840" width="11.42578125" style="10"/>
    <col min="3841" max="3841" width="3.85546875" style="10" customWidth="1"/>
    <col min="3842" max="3842" width="8.5703125" style="10" customWidth="1"/>
    <col min="3843" max="3843" width="8.140625" style="10" customWidth="1"/>
    <col min="3844" max="3847" width="3.85546875" style="10" customWidth="1"/>
    <col min="3848" max="3848" width="12.42578125" style="10" customWidth="1"/>
    <col min="3849" max="3849" width="3.85546875" style="10" customWidth="1"/>
    <col min="3850" max="3850" width="45.7109375" style="10" customWidth="1"/>
    <col min="3851" max="3853" width="0" style="10" hidden="1" customWidth="1"/>
    <col min="3854" max="3854" width="35.42578125" style="10" customWidth="1"/>
    <col min="3855" max="3855" width="25.85546875" style="10" customWidth="1"/>
    <col min="3856" max="3856" width="28.85546875" style="10" customWidth="1"/>
    <col min="3857" max="3857" width="30.42578125" style="10" customWidth="1"/>
    <col min="3858" max="3858" width="23.5703125" style="10" customWidth="1"/>
    <col min="3859" max="3859" width="24.42578125" style="10" customWidth="1"/>
    <col min="3860" max="3860" width="23" style="10" customWidth="1"/>
    <col min="3861" max="3861" width="26.85546875" style="10" customWidth="1"/>
    <col min="3862" max="3862" width="29" style="10" customWidth="1"/>
    <col min="3863" max="3863" width="34.140625" style="10" customWidth="1"/>
    <col min="3864" max="3864" width="29" style="10" customWidth="1"/>
    <col min="3865" max="3865" width="25" style="10" customWidth="1"/>
    <col min="3866" max="3866" width="36.28515625" style="10" customWidth="1"/>
    <col min="3867" max="3867" width="36.140625" style="10" customWidth="1"/>
    <col min="3868" max="3868" width="31.5703125" style="10" customWidth="1"/>
    <col min="3869" max="3869" width="0" style="10" hidden="1" customWidth="1"/>
    <col min="3870" max="3870" width="35.28515625" style="10" customWidth="1"/>
    <col min="3871" max="3871" width="31" style="10" customWidth="1"/>
    <col min="3872" max="3872" width="34.7109375" style="10" customWidth="1"/>
    <col min="3873" max="3873" width="31.42578125" style="10" customWidth="1"/>
    <col min="3874" max="3874" width="22.5703125" style="10" customWidth="1"/>
    <col min="3875" max="3878" width="0" style="10" hidden="1" customWidth="1"/>
    <col min="3879" max="3879" width="3" style="10" customWidth="1"/>
    <col min="3880" max="3880" width="26.85546875" style="10" customWidth="1"/>
    <col min="3881" max="3881" width="29.85546875" style="10" customWidth="1"/>
    <col min="3882" max="3882" width="32.7109375" style="10" customWidth="1"/>
    <col min="3883" max="3883" width="34.85546875" style="10" customWidth="1"/>
    <col min="3884" max="3884" width="30.42578125" style="10" customWidth="1"/>
    <col min="3885" max="3885" width="13.85546875" style="10" customWidth="1"/>
    <col min="3886" max="3886" width="39.42578125" style="10" customWidth="1"/>
    <col min="3887" max="3887" width="23.5703125" style="10" customWidth="1"/>
    <col min="3888" max="4096" width="11.42578125" style="10"/>
    <col min="4097" max="4097" width="3.85546875" style="10" customWidth="1"/>
    <col min="4098" max="4098" width="8.5703125" style="10" customWidth="1"/>
    <col min="4099" max="4099" width="8.140625" style="10" customWidth="1"/>
    <col min="4100" max="4103" width="3.85546875" style="10" customWidth="1"/>
    <col min="4104" max="4104" width="12.42578125" style="10" customWidth="1"/>
    <col min="4105" max="4105" width="3.85546875" style="10" customWidth="1"/>
    <col min="4106" max="4106" width="45.7109375" style="10" customWidth="1"/>
    <col min="4107" max="4109" width="0" style="10" hidden="1" customWidth="1"/>
    <col min="4110" max="4110" width="35.42578125" style="10" customWidth="1"/>
    <col min="4111" max="4111" width="25.85546875" style="10" customWidth="1"/>
    <col min="4112" max="4112" width="28.85546875" style="10" customWidth="1"/>
    <col min="4113" max="4113" width="30.42578125" style="10" customWidth="1"/>
    <col min="4114" max="4114" width="23.5703125" style="10" customWidth="1"/>
    <col min="4115" max="4115" width="24.42578125" style="10" customWidth="1"/>
    <col min="4116" max="4116" width="23" style="10" customWidth="1"/>
    <col min="4117" max="4117" width="26.85546875" style="10" customWidth="1"/>
    <col min="4118" max="4118" width="29" style="10" customWidth="1"/>
    <col min="4119" max="4119" width="34.140625" style="10" customWidth="1"/>
    <col min="4120" max="4120" width="29" style="10" customWidth="1"/>
    <col min="4121" max="4121" width="25" style="10" customWidth="1"/>
    <col min="4122" max="4122" width="36.28515625" style="10" customWidth="1"/>
    <col min="4123" max="4123" width="36.140625" style="10" customWidth="1"/>
    <col min="4124" max="4124" width="31.5703125" style="10" customWidth="1"/>
    <col min="4125" max="4125" width="0" style="10" hidden="1" customWidth="1"/>
    <col min="4126" max="4126" width="35.28515625" style="10" customWidth="1"/>
    <col min="4127" max="4127" width="31" style="10" customWidth="1"/>
    <col min="4128" max="4128" width="34.7109375" style="10" customWidth="1"/>
    <col min="4129" max="4129" width="31.42578125" style="10" customWidth="1"/>
    <col min="4130" max="4130" width="22.5703125" style="10" customWidth="1"/>
    <col min="4131" max="4134" width="0" style="10" hidden="1" customWidth="1"/>
    <col min="4135" max="4135" width="3" style="10" customWidth="1"/>
    <col min="4136" max="4136" width="26.85546875" style="10" customWidth="1"/>
    <col min="4137" max="4137" width="29.85546875" style="10" customWidth="1"/>
    <col min="4138" max="4138" width="32.7109375" style="10" customWidth="1"/>
    <col min="4139" max="4139" width="34.85546875" style="10" customWidth="1"/>
    <col min="4140" max="4140" width="30.42578125" style="10" customWidth="1"/>
    <col min="4141" max="4141" width="13.85546875" style="10" customWidth="1"/>
    <col min="4142" max="4142" width="39.42578125" style="10" customWidth="1"/>
    <col min="4143" max="4143" width="23.5703125" style="10" customWidth="1"/>
    <col min="4144" max="4352" width="11.42578125" style="10"/>
    <col min="4353" max="4353" width="3.85546875" style="10" customWidth="1"/>
    <col min="4354" max="4354" width="8.5703125" style="10" customWidth="1"/>
    <col min="4355" max="4355" width="8.140625" style="10" customWidth="1"/>
    <col min="4356" max="4359" width="3.85546875" style="10" customWidth="1"/>
    <col min="4360" max="4360" width="12.42578125" style="10" customWidth="1"/>
    <col min="4361" max="4361" width="3.85546875" style="10" customWidth="1"/>
    <col min="4362" max="4362" width="45.7109375" style="10" customWidth="1"/>
    <col min="4363" max="4365" width="0" style="10" hidden="1" customWidth="1"/>
    <col min="4366" max="4366" width="35.42578125" style="10" customWidth="1"/>
    <col min="4367" max="4367" width="25.85546875" style="10" customWidth="1"/>
    <col min="4368" max="4368" width="28.85546875" style="10" customWidth="1"/>
    <col min="4369" max="4369" width="30.42578125" style="10" customWidth="1"/>
    <col min="4370" max="4370" width="23.5703125" style="10" customWidth="1"/>
    <col min="4371" max="4371" width="24.42578125" style="10" customWidth="1"/>
    <col min="4372" max="4372" width="23" style="10" customWidth="1"/>
    <col min="4373" max="4373" width="26.85546875" style="10" customWidth="1"/>
    <col min="4374" max="4374" width="29" style="10" customWidth="1"/>
    <col min="4375" max="4375" width="34.140625" style="10" customWidth="1"/>
    <col min="4376" max="4376" width="29" style="10" customWidth="1"/>
    <col min="4377" max="4377" width="25" style="10" customWidth="1"/>
    <col min="4378" max="4378" width="36.28515625" style="10" customWidth="1"/>
    <col min="4379" max="4379" width="36.140625" style="10" customWidth="1"/>
    <col min="4380" max="4380" width="31.5703125" style="10" customWidth="1"/>
    <col min="4381" max="4381" width="0" style="10" hidden="1" customWidth="1"/>
    <col min="4382" max="4382" width="35.28515625" style="10" customWidth="1"/>
    <col min="4383" max="4383" width="31" style="10" customWidth="1"/>
    <col min="4384" max="4384" width="34.7109375" style="10" customWidth="1"/>
    <col min="4385" max="4385" width="31.42578125" style="10" customWidth="1"/>
    <col min="4386" max="4386" width="22.5703125" style="10" customWidth="1"/>
    <col min="4387" max="4390" width="0" style="10" hidden="1" customWidth="1"/>
    <col min="4391" max="4391" width="3" style="10" customWidth="1"/>
    <col min="4392" max="4392" width="26.85546875" style="10" customWidth="1"/>
    <col min="4393" max="4393" width="29.85546875" style="10" customWidth="1"/>
    <col min="4394" max="4394" width="32.7109375" style="10" customWidth="1"/>
    <col min="4395" max="4395" width="34.85546875" style="10" customWidth="1"/>
    <col min="4396" max="4396" width="30.42578125" style="10" customWidth="1"/>
    <col min="4397" max="4397" width="13.85546875" style="10" customWidth="1"/>
    <col min="4398" max="4398" width="39.42578125" style="10" customWidth="1"/>
    <col min="4399" max="4399" width="23.5703125" style="10" customWidth="1"/>
    <col min="4400" max="4608" width="11.42578125" style="10"/>
    <col min="4609" max="4609" width="3.85546875" style="10" customWidth="1"/>
    <col min="4610" max="4610" width="8.5703125" style="10" customWidth="1"/>
    <col min="4611" max="4611" width="8.140625" style="10" customWidth="1"/>
    <col min="4612" max="4615" width="3.85546875" style="10" customWidth="1"/>
    <col min="4616" max="4616" width="12.42578125" style="10" customWidth="1"/>
    <col min="4617" max="4617" width="3.85546875" style="10" customWidth="1"/>
    <col min="4618" max="4618" width="45.7109375" style="10" customWidth="1"/>
    <col min="4619" max="4621" width="0" style="10" hidden="1" customWidth="1"/>
    <col min="4622" max="4622" width="35.42578125" style="10" customWidth="1"/>
    <col min="4623" max="4623" width="25.85546875" style="10" customWidth="1"/>
    <col min="4624" max="4624" width="28.85546875" style="10" customWidth="1"/>
    <col min="4625" max="4625" width="30.42578125" style="10" customWidth="1"/>
    <col min="4626" max="4626" width="23.5703125" style="10" customWidth="1"/>
    <col min="4627" max="4627" width="24.42578125" style="10" customWidth="1"/>
    <col min="4628" max="4628" width="23" style="10" customWidth="1"/>
    <col min="4629" max="4629" width="26.85546875" style="10" customWidth="1"/>
    <col min="4630" max="4630" width="29" style="10" customWidth="1"/>
    <col min="4631" max="4631" width="34.140625" style="10" customWidth="1"/>
    <col min="4632" max="4632" width="29" style="10" customWidth="1"/>
    <col min="4633" max="4633" width="25" style="10" customWidth="1"/>
    <col min="4634" max="4634" width="36.28515625" style="10" customWidth="1"/>
    <col min="4635" max="4635" width="36.140625" style="10" customWidth="1"/>
    <col min="4636" max="4636" width="31.5703125" style="10" customWidth="1"/>
    <col min="4637" max="4637" width="0" style="10" hidden="1" customWidth="1"/>
    <col min="4638" max="4638" width="35.28515625" style="10" customWidth="1"/>
    <col min="4639" max="4639" width="31" style="10" customWidth="1"/>
    <col min="4640" max="4640" width="34.7109375" style="10" customWidth="1"/>
    <col min="4641" max="4641" width="31.42578125" style="10" customWidth="1"/>
    <col min="4642" max="4642" width="22.5703125" style="10" customWidth="1"/>
    <col min="4643" max="4646" width="0" style="10" hidden="1" customWidth="1"/>
    <col min="4647" max="4647" width="3" style="10" customWidth="1"/>
    <col min="4648" max="4648" width="26.85546875" style="10" customWidth="1"/>
    <col min="4649" max="4649" width="29.85546875" style="10" customWidth="1"/>
    <col min="4650" max="4650" width="32.7109375" style="10" customWidth="1"/>
    <col min="4651" max="4651" width="34.85546875" style="10" customWidth="1"/>
    <col min="4652" max="4652" width="30.42578125" style="10" customWidth="1"/>
    <col min="4653" max="4653" width="13.85546875" style="10" customWidth="1"/>
    <col min="4654" max="4654" width="39.42578125" style="10" customWidth="1"/>
    <col min="4655" max="4655" width="23.5703125" style="10" customWidth="1"/>
    <col min="4656" max="4864" width="11.42578125" style="10"/>
    <col min="4865" max="4865" width="3.85546875" style="10" customWidth="1"/>
    <col min="4866" max="4866" width="8.5703125" style="10" customWidth="1"/>
    <col min="4867" max="4867" width="8.140625" style="10" customWidth="1"/>
    <col min="4868" max="4871" width="3.85546875" style="10" customWidth="1"/>
    <col min="4872" max="4872" width="12.42578125" style="10" customWidth="1"/>
    <col min="4873" max="4873" width="3.85546875" style="10" customWidth="1"/>
    <col min="4874" max="4874" width="45.7109375" style="10" customWidth="1"/>
    <col min="4875" max="4877" width="0" style="10" hidden="1" customWidth="1"/>
    <col min="4878" max="4878" width="35.42578125" style="10" customWidth="1"/>
    <col min="4879" max="4879" width="25.85546875" style="10" customWidth="1"/>
    <col min="4880" max="4880" width="28.85546875" style="10" customWidth="1"/>
    <col min="4881" max="4881" width="30.42578125" style="10" customWidth="1"/>
    <col min="4882" max="4882" width="23.5703125" style="10" customWidth="1"/>
    <col min="4883" max="4883" width="24.42578125" style="10" customWidth="1"/>
    <col min="4884" max="4884" width="23" style="10" customWidth="1"/>
    <col min="4885" max="4885" width="26.85546875" style="10" customWidth="1"/>
    <col min="4886" max="4886" width="29" style="10" customWidth="1"/>
    <col min="4887" max="4887" width="34.140625" style="10" customWidth="1"/>
    <col min="4888" max="4888" width="29" style="10" customWidth="1"/>
    <col min="4889" max="4889" width="25" style="10" customWidth="1"/>
    <col min="4890" max="4890" width="36.28515625" style="10" customWidth="1"/>
    <col min="4891" max="4891" width="36.140625" style="10" customWidth="1"/>
    <col min="4892" max="4892" width="31.5703125" style="10" customWidth="1"/>
    <col min="4893" max="4893" width="0" style="10" hidden="1" customWidth="1"/>
    <col min="4894" max="4894" width="35.28515625" style="10" customWidth="1"/>
    <col min="4895" max="4895" width="31" style="10" customWidth="1"/>
    <col min="4896" max="4896" width="34.7109375" style="10" customWidth="1"/>
    <col min="4897" max="4897" width="31.42578125" style="10" customWidth="1"/>
    <col min="4898" max="4898" width="22.5703125" style="10" customWidth="1"/>
    <col min="4899" max="4902" width="0" style="10" hidden="1" customWidth="1"/>
    <col min="4903" max="4903" width="3" style="10" customWidth="1"/>
    <col min="4904" max="4904" width="26.85546875" style="10" customWidth="1"/>
    <col min="4905" max="4905" width="29.85546875" style="10" customWidth="1"/>
    <col min="4906" max="4906" width="32.7109375" style="10" customWidth="1"/>
    <col min="4907" max="4907" width="34.85546875" style="10" customWidth="1"/>
    <col min="4908" max="4908" width="30.42578125" style="10" customWidth="1"/>
    <col min="4909" max="4909" width="13.85546875" style="10" customWidth="1"/>
    <col min="4910" max="4910" width="39.42578125" style="10" customWidth="1"/>
    <col min="4911" max="4911" width="23.5703125" style="10" customWidth="1"/>
    <col min="4912" max="5120" width="11.42578125" style="10"/>
    <col min="5121" max="5121" width="3.85546875" style="10" customWidth="1"/>
    <col min="5122" max="5122" width="8.5703125" style="10" customWidth="1"/>
    <col min="5123" max="5123" width="8.140625" style="10" customWidth="1"/>
    <col min="5124" max="5127" width="3.85546875" style="10" customWidth="1"/>
    <col min="5128" max="5128" width="12.42578125" style="10" customWidth="1"/>
    <col min="5129" max="5129" width="3.85546875" style="10" customWidth="1"/>
    <col min="5130" max="5130" width="45.7109375" style="10" customWidth="1"/>
    <col min="5131" max="5133" width="0" style="10" hidden="1" customWidth="1"/>
    <col min="5134" max="5134" width="35.42578125" style="10" customWidth="1"/>
    <col min="5135" max="5135" width="25.85546875" style="10" customWidth="1"/>
    <col min="5136" max="5136" width="28.85546875" style="10" customWidth="1"/>
    <col min="5137" max="5137" width="30.42578125" style="10" customWidth="1"/>
    <col min="5138" max="5138" width="23.5703125" style="10" customWidth="1"/>
    <col min="5139" max="5139" width="24.42578125" style="10" customWidth="1"/>
    <col min="5140" max="5140" width="23" style="10" customWidth="1"/>
    <col min="5141" max="5141" width="26.85546875" style="10" customWidth="1"/>
    <col min="5142" max="5142" width="29" style="10" customWidth="1"/>
    <col min="5143" max="5143" width="34.140625" style="10" customWidth="1"/>
    <col min="5144" max="5144" width="29" style="10" customWidth="1"/>
    <col min="5145" max="5145" width="25" style="10" customWidth="1"/>
    <col min="5146" max="5146" width="36.28515625" style="10" customWidth="1"/>
    <col min="5147" max="5147" width="36.140625" style="10" customWidth="1"/>
    <col min="5148" max="5148" width="31.5703125" style="10" customWidth="1"/>
    <col min="5149" max="5149" width="0" style="10" hidden="1" customWidth="1"/>
    <col min="5150" max="5150" width="35.28515625" style="10" customWidth="1"/>
    <col min="5151" max="5151" width="31" style="10" customWidth="1"/>
    <col min="5152" max="5152" width="34.7109375" style="10" customWidth="1"/>
    <col min="5153" max="5153" width="31.42578125" style="10" customWidth="1"/>
    <col min="5154" max="5154" width="22.5703125" style="10" customWidth="1"/>
    <col min="5155" max="5158" width="0" style="10" hidden="1" customWidth="1"/>
    <col min="5159" max="5159" width="3" style="10" customWidth="1"/>
    <col min="5160" max="5160" width="26.85546875" style="10" customWidth="1"/>
    <col min="5161" max="5161" width="29.85546875" style="10" customWidth="1"/>
    <col min="5162" max="5162" width="32.7109375" style="10" customWidth="1"/>
    <col min="5163" max="5163" width="34.85546875" style="10" customWidth="1"/>
    <col min="5164" max="5164" width="30.42578125" style="10" customWidth="1"/>
    <col min="5165" max="5165" width="13.85546875" style="10" customWidth="1"/>
    <col min="5166" max="5166" width="39.42578125" style="10" customWidth="1"/>
    <col min="5167" max="5167" width="23.5703125" style="10" customWidth="1"/>
    <col min="5168" max="5376" width="11.42578125" style="10"/>
    <col min="5377" max="5377" width="3.85546875" style="10" customWidth="1"/>
    <col min="5378" max="5378" width="8.5703125" style="10" customWidth="1"/>
    <col min="5379" max="5379" width="8.140625" style="10" customWidth="1"/>
    <col min="5380" max="5383" width="3.85546875" style="10" customWidth="1"/>
    <col min="5384" max="5384" width="12.42578125" style="10" customWidth="1"/>
    <col min="5385" max="5385" width="3.85546875" style="10" customWidth="1"/>
    <col min="5386" max="5386" width="45.7109375" style="10" customWidth="1"/>
    <col min="5387" max="5389" width="0" style="10" hidden="1" customWidth="1"/>
    <col min="5390" max="5390" width="35.42578125" style="10" customWidth="1"/>
    <col min="5391" max="5391" width="25.85546875" style="10" customWidth="1"/>
    <col min="5392" max="5392" width="28.85546875" style="10" customWidth="1"/>
    <col min="5393" max="5393" width="30.42578125" style="10" customWidth="1"/>
    <col min="5394" max="5394" width="23.5703125" style="10" customWidth="1"/>
    <col min="5395" max="5395" width="24.42578125" style="10" customWidth="1"/>
    <col min="5396" max="5396" width="23" style="10" customWidth="1"/>
    <col min="5397" max="5397" width="26.85546875" style="10" customWidth="1"/>
    <col min="5398" max="5398" width="29" style="10" customWidth="1"/>
    <col min="5399" max="5399" width="34.140625" style="10" customWidth="1"/>
    <col min="5400" max="5400" width="29" style="10" customWidth="1"/>
    <col min="5401" max="5401" width="25" style="10" customWidth="1"/>
    <col min="5402" max="5402" width="36.28515625" style="10" customWidth="1"/>
    <col min="5403" max="5403" width="36.140625" style="10" customWidth="1"/>
    <col min="5404" max="5404" width="31.5703125" style="10" customWidth="1"/>
    <col min="5405" max="5405" width="0" style="10" hidden="1" customWidth="1"/>
    <col min="5406" max="5406" width="35.28515625" style="10" customWidth="1"/>
    <col min="5407" max="5407" width="31" style="10" customWidth="1"/>
    <col min="5408" max="5408" width="34.7109375" style="10" customWidth="1"/>
    <col min="5409" max="5409" width="31.42578125" style="10" customWidth="1"/>
    <col min="5410" max="5410" width="22.5703125" style="10" customWidth="1"/>
    <col min="5411" max="5414" width="0" style="10" hidden="1" customWidth="1"/>
    <col min="5415" max="5415" width="3" style="10" customWidth="1"/>
    <col min="5416" max="5416" width="26.85546875" style="10" customWidth="1"/>
    <col min="5417" max="5417" width="29.85546875" style="10" customWidth="1"/>
    <col min="5418" max="5418" width="32.7109375" style="10" customWidth="1"/>
    <col min="5419" max="5419" width="34.85546875" style="10" customWidth="1"/>
    <col min="5420" max="5420" width="30.42578125" style="10" customWidth="1"/>
    <col min="5421" max="5421" width="13.85546875" style="10" customWidth="1"/>
    <col min="5422" max="5422" width="39.42578125" style="10" customWidth="1"/>
    <col min="5423" max="5423" width="23.5703125" style="10" customWidth="1"/>
    <col min="5424" max="5632" width="11.42578125" style="10"/>
    <col min="5633" max="5633" width="3.85546875" style="10" customWidth="1"/>
    <col min="5634" max="5634" width="8.5703125" style="10" customWidth="1"/>
    <col min="5635" max="5635" width="8.140625" style="10" customWidth="1"/>
    <col min="5636" max="5639" width="3.85546875" style="10" customWidth="1"/>
    <col min="5640" max="5640" width="12.42578125" style="10" customWidth="1"/>
    <col min="5641" max="5641" width="3.85546875" style="10" customWidth="1"/>
    <col min="5642" max="5642" width="45.7109375" style="10" customWidth="1"/>
    <col min="5643" max="5645" width="0" style="10" hidden="1" customWidth="1"/>
    <col min="5646" max="5646" width="35.42578125" style="10" customWidth="1"/>
    <col min="5647" max="5647" width="25.85546875" style="10" customWidth="1"/>
    <col min="5648" max="5648" width="28.85546875" style="10" customWidth="1"/>
    <col min="5649" max="5649" width="30.42578125" style="10" customWidth="1"/>
    <col min="5650" max="5650" width="23.5703125" style="10" customWidth="1"/>
    <col min="5651" max="5651" width="24.42578125" style="10" customWidth="1"/>
    <col min="5652" max="5652" width="23" style="10" customWidth="1"/>
    <col min="5653" max="5653" width="26.85546875" style="10" customWidth="1"/>
    <col min="5654" max="5654" width="29" style="10" customWidth="1"/>
    <col min="5655" max="5655" width="34.140625" style="10" customWidth="1"/>
    <col min="5656" max="5656" width="29" style="10" customWidth="1"/>
    <col min="5657" max="5657" width="25" style="10" customWidth="1"/>
    <col min="5658" max="5658" width="36.28515625" style="10" customWidth="1"/>
    <col min="5659" max="5659" width="36.140625" style="10" customWidth="1"/>
    <col min="5660" max="5660" width="31.5703125" style="10" customWidth="1"/>
    <col min="5661" max="5661" width="0" style="10" hidden="1" customWidth="1"/>
    <col min="5662" max="5662" width="35.28515625" style="10" customWidth="1"/>
    <col min="5663" max="5663" width="31" style="10" customWidth="1"/>
    <col min="5664" max="5664" width="34.7109375" style="10" customWidth="1"/>
    <col min="5665" max="5665" width="31.42578125" style="10" customWidth="1"/>
    <col min="5666" max="5666" width="22.5703125" style="10" customWidth="1"/>
    <col min="5667" max="5670" width="0" style="10" hidden="1" customWidth="1"/>
    <col min="5671" max="5671" width="3" style="10" customWidth="1"/>
    <col min="5672" max="5672" width="26.85546875" style="10" customWidth="1"/>
    <col min="5673" max="5673" width="29.85546875" style="10" customWidth="1"/>
    <col min="5674" max="5674" width="32.7109375" style="10" customWidth="1"/>
    <col min="5675" max="5675" width="34.85546875" style="10" customWidth="1"/>
    <col min="5676" max="5676" width="30.42578125" style="10" customWidth="1"/>
    <col min="5677" max="5677" width="13.85546875" style="10" customWidth="1"/>
    <col min="5678" max="5678" width="39.42578125" style="10" customWidth="1"/>
    <col min="5679" max="5679" width="23.5703125" style="10" customWidth="1"/>
    <col min="5680" max="5888" width="11.42578125" style="10"/>
    <col min="5889" max="5889" width="3.85546875" style="10" customWidth="1"/>
    <col min="5890" max="5890" width="8.5703125" style="10" customWidth="1"/>
    <col min="5891" max="5891" width="8.140625" style="10" customWidth="1"/>
    <col min="5892" max="5895" width="3.85546875" style="10" customWidth="1"/>
    <col min="5896" max="5896" width="12.42578125" style="10" customWidth="1"/>
    <col min="5897" max="5897" width="3.85546875" style="10" customWidth="1"/>
    <col min="5898" max="5898" width="45.7109375" style="10" customWidth="1"/>
    <col min="5899" max="5901" width="0" style="10" hidden="1" customWidth="1"/>
    <col min="5902" max="5902" width="35.42578125" style="10" customWidth="1"/>
    <col min="5903" max="5903" width="25.85546875" style="10" customWidth="1"/>
    <col min="5904" max="5904" width="28.85546875" style="10" customWidth="1"/>
    <col min="5905" max="5905" width="30.42578125" style="10" customWidth="1"/>
    <col min="5906" max="5906" width="23.5703125" style="10" customWidth="1"/>
    <col min="5907" max="5907" width="24.42578125" style="10" customWidth="1"/>
    <col min="5908" max="5908" width="23" style="10" customWidth="1"/>
    <col min="5909" max="5909" width="26.85546875" style="10" customWidth="1"/>
    <col min="5910" max="5910" width="29" style="10" customWidth="1"/>
    <col min="5911" max="5911" width="34.140625" style="10" customWidth="1"/>
    <col min="5912" max="5912" width="29" style="10" customWidth="1"/>
    <col min="5913" max="5913" width="25" style="10" customWidth="1"/>
    <col min="5914" max="5914" width="36.28515625" style="10" customWidth="1"/>
    <col min="5915" max="5915" width="36.140625" style="10" customWidth="1"/>
    <col min="5916" max="5916" width="31.5703125" style="10" customWidth="1"/>
    <col min="5917" max="5917" width="0" style="10" hidden="1" customWidth="1"/>
    <col min="5918" max="5918" width="35.28515625" style="10" customWidth="1"/>
    <col min="5919" max="5919" width="31" style="10" customWidth="1"/>
    <col min="5920" max="5920" width="34.7109375" style="10" customWidth="1"/>
    <col min="5921" max="5921" width="31.42578125" style="10" customWidth="1"/>
    <col min="5922" max="5922" width="22.5703125" style="10" customWidth="1"/>
    <col min="5923" max="5926" width="0" style="10" hidden="1" customWidth="1"/>
    <col min="5927" max="5927" width="3" style="10" customWidth="1"/>
    <col min="5928" max="5928" width="26.85546875" style="10" customWidth="1"/>
    <col min="5929" max="5929" width="29.85546875" style="10" customWidth="1"/>
    <col min="5930" max="5930" width="32.7109375" style="10" customWidth="1"/>
    <col min="5931" max="5931" width="34.85546875" style="10" customWidth="1"/>
    <col min="5932" max="5932" width="30.42578125" style="10" customWidth="1"/>
    <col min="5933" max="5933" width="13.85546875" style="10" customWidth="1"/>
    <col min="5934" max="5934" width="39.42578125" style="10" customWidth="1"/>
    <col min="5935" max="5935" width="23.5703125" style="10" customWidth="1"/>
    <col min="5936" max="6144" width="11.42578125" style="10"/>
    <col min="6145" max="6145" width="3.85546875" style="10" customWidth="1"/>
    <col min="6146" max="6146" width="8.5703125" style="10" customWidth="1"/>
    <col min="6147" max="6147" width="8.140625" style="10" customWidth="1"/>
    <col min="6148" max="6151" width="3.85546875" style="10" customWidth="1"/>
    <col min="6152" max="6152" width="12.42578125" style="10" customWidth="1"/>
    <col min="6153" max="6153" width="3.85546875" style="10" customWidth="1"/>
    <col min="6154" max="6154" width="45.7109375" style="10" customWidth="1"/>
    <col min="6155" max="6157" width="0" style="10" hidden="1" customWidth="1"/>
    <col min="6158" max="6158" width="35.42578125" style="10" customWidth="1"/>
    <col min="6159" max="6159" width="25.85546875" style="10" customWidth="1"/>
    <col min="6160" max="6160" width="28.85546875" style="10" customWidth="1"/>
    <col min="6161" max="6161" width="30.42578125" style="10" customWidth="1"/>
    <col min="6162" max="6162" width="23.5703125" style="10" customWidth="1"/>
    <col min="6163" max="6163" width="24.42578125" style="10" customWidth="1"/>
    <col min="6164" max="6164" width="23" style="10" customWidth="1"/>
    <col min="6165" max="6165" width="26.85546875" style="10" customWidth="1"/>
    <col min="6166" max="6166" width="29" style="10" customWidth="1"/>
    <col min="6167" max="6167" width="34.140625" style="10" customWidth="1"/>
    <col min="6168" max="6168" width="29" style="10" customWidth="1"/>
    <col min="6169" max="6169" width="25" style="10" customWidth="1"/>
    <col min="6170" max="6170" width="36.28515625" style="10" customWidth="1"/>
    <col min="6171" max="6171" width="36.140625" style="10" customWidth="1"/>
    <col min="6172" max="6172" width="31.5703125" style="10" customWidth="1"/>
    <col min="6173" max="6173" width="0" style="10" hidden="1" customWidth="1"/>
    <col min="6174" max="6174" width="35.28515625" style="10" customWidth="1"/>
    <col min="6175" max="6175" width="31" style="10" customWidth="1"/>
    <col min="6176" max="6176" width="34.7109375" style="10" customWidth="1"/>
    <col min="6177" max="6177" width="31.42578125" style="10" customWidth="1"/>
    <col min="6178" max="6178" width="22.5703125" style="10" customWidth="1"/>
    <col min="6179" max="6182" width="0" style="10" hidden="1" customWidth="1"/>
    <col min="6183" max="6183" width="3" style="10" customWidth="1"/>
    <col min="6184" max="6184" width="26.85546875" style="10" customWidth="1"/>
    <col min="6185" max="6185" width="29.85546875" style="10" customWidth="1"/>
    <col min="6186" max="6186" width="32.7109375" style="10" customWidth="1"/>
    <col min="6187" max="6187" width="34.85546875" style="10" customWidth="1"/>
    <col min="6188" max="6188" width="30.42578125" style="10" customWidth="1"/>
    <col min="6189" max="6189" width="13.85546875" style="10" customWidth="1"/>
    <col min="6190" max="6190" width="39.42578125" style="10" customWidth="1"/>
    <col min="6191" max="6191" width="23.5703125" style="10" customWidth="1"/>
    <col min="6192" max="6400" width="11.42578125" style="10"/>
    <col min="6401" max="6401" width="3.85546875" style="10" customWidth="1"/>
    <col min="6402" max="6402" width="8.5703125" style="10" customWidth="1"/>
    <col min="6403" max="6403" width="8.140625" style="10" customWidth="1"/>
    <col min="6404" max="6407" width="3.85546875" style="10" customWidth="1"/>
    <col min="6408" max="6408" width="12.42578125" style="10" customWidth="1"/>
    <col min="6409" max="6409" width="3.85546875" style="10" customWidth="1"/>
    <col min="6410" max="6410" width="45.7109375" style="10" customWidth="1"/>
    <col min="6411" max="6413" width="0" style="10" hidden="1" customWidth="1"/>
    <col min="6414" max="6414" width="35.42578125" style="10" customWidth="1"/>
    <col min="6415" max="6415" width="25.85546875" style="10" customWidth="1"/>
    <col min="6416" max="6416" width="28.85546875" style="10" customWidth="1"/>
    <col min="6417" max="6417" width="30.42578125" style="10" customWidth="1"/>
    <col min="6418" max="6418" width="23.5703125" style="10" customWidth="1"/>
    <col min="6419" max="6419" width="24.42578125" style="10" customWidth="1"/>
    <col min="6420" max="6420" width="23" style="10" customWidth="1"/>
    <col min="6421" max="6421" width="26.85546875" style="10" customWidth="1"/>
    <col min="6422" max="6422" width="29" style="10" customWidth="1"/>
    <col min="6423" max="6423" width="34.140625" style="10" customWidth="1"/>
    <col min="6424" max="6424" width="29" style="10" customWidth="1"/>
    <col min="6425" max="6425" width="25" style="10" customWidth="1"/>
    <col min="6426" max="6426" width="36.28515625" style="10" customWidth="1"/>
    <col min="6427" max="6427" width="36.140625" style="10" customWidth="1"/>
    <col min="6428" max="6428" width="31.5703125" style="10" customWidth="1"/>
    <col min="6429" max="6429" width="0" style="10" hidden="1" customWidth="1"/>
    <col min="6430" max="6430" width="35.28515625" style="10" customWidth="1"/>
    <col min="6431" max="6431" width="31" style="10" customWidth="1"/>
    <col min="6432" max="6432" width="34.7109375" style="10" customWidth="1"/>
    <col min="6433" max="6433" width="31.42578125" style="10" customWidth="1"/>
    <col min="6434" max="6434" width="22.5703125" style="10" customWidth="1"/>
    <col min="6435" max="6438" width="0" style="10" hidden="1" customWidth="1"/>
    <col min="6439" max="6439" width="3" style="10" customWidth="1"/>
    <col min="6440" max="6440" width="26.85546875" style="10" customWidth="1"/>
    <col min="6441" max="6441" width="29.85546875" style="10" customWidth="1"/>
    <col min="6442" max="6442" width="32.7109375" style="10" customWidth="1"/>
    <col min="6443" max="6443" width="34.85546875" style="10" customWidth="1"/>
    <col min="6444" max="6444" width="30.42578125" style="10" customWidth="1"/>
    <col min="6445" max="6445" width="13.85546875" style="10" customWidth="1"/>
    <col min="6446" max="6446" width="39.42578125" style="10" customWidth="1"/>
    <col min="6447" max="6447" width="23.5703125" style="10" customWidth="1"/>
    <col min="6448" max="6656" width="11.42578125" style="10"/>
    <col min="6657" max="6657" width="3.85546875" style="10" customWidth="1"/>
    <col min="6658" max="6658" width="8.5703125" style="10" customWidth="1"/>
    <col min="6659" max="6659" width="8.140625" style="10" customWidth="1"/>
    <col min="6660" max="6663" width="3.85546875" style="10" customWidth="1"/>
    <col min="6664" max="6664" width="12.42578125" style="10" customWidth="1"/>
    <col min="6665" max="6665" width="3.85546875" style="10" customWidth="1"/>
    <col min="6666" max="6666" width="45.7109375" style="10" customWidth="1"/>
    <col min="6667" max="6669" width="0" style="10" hidden="1" customWidth="1"/>
    <col min="6670" max="6670" width="35.42578125" style="10" customWidth="1"/>
    <col min="6671" max="6671" width="25.85546875" style="10" customWidth="1"/>
    <col min="6672" max="6672" width="28.85546875" style="10" customWidth="1"/>
    <col min="6673" max="6673" width="30.42578125" style="10" customWidth="1"/>
    <col min="6674" max="6674" width="23.5703125" style="10" customWidth="1"/>
    <col min="6675" max="6675" width="24.42578125" style="10" customWidth="1"/>
    <col min="6676" max="6676" width="23" style="10" customWidth="1"/>
    <col min="6677" max="6677" width="26.85546875" style="10" customWidth="1"/>
    <col min="6678" max="6678" width="29" style="10" customWidth="1"/>
    <col min="6679" max="6679" width="34.140625" style="10" customWidth="1"/>
    <col min="6680" max="6680" width="29" style="10" customWidth="1"/>
    <col min="6681" max="6681" width="25" style="10" customWidth="1"/>
    <col min="6682" max="6682" width="36.28515625" style="10" customWidth="1"/>
    <col min="6683" max="6683" width="36.140625" style="10" customWidth="1"/>
    <col min="6684" max="6684" width="31.5703125" style="10" customWidth="1"/>
    <col min="6685" max="6685" width="0" style="10" hidden="1" customWidth="1"/>
    <col min="6686" max="6686" width="35.28515625" style="10" customWidth="1"/>
    <col min="6687" max="6687" width="31" style="10" customWidth="1"/>
    <col min="6688" max="6688" width="34.7109375" style="10" customWidth="1"/>
    <col min="6689" max="6689" width="31.42578125" style="10" customWidth="1"/>
    <col min="6690" max="6690" width="22.5703125" style="10" customWidth="1"/>
    <col min="6691" max="6694" width="0" style="10" hidden="1" customWidth="1"/>
    <col min="6695" max="6695" width="3" style="10" customWidth="1"/>
    <col min="6696" max="6696" width="26.85546875" style="10" customWidth="1"/>
    <col min="6697" max="6697" width="29.85546875" style="10" customWidth="1"/>
    <col min="6698" max="6698" width="32.7109375" style="10" customWidth="1"/>
    <col min="6699" max="6699" width="34.85546875" style="10" customWidth="1"/>
    <col min="6700" max="6700" width="30.42578125" style="10" customWidth="1"/>
    <col min="6701" max="6701" width="13.85546875" style="10" customWidth="1"/>
    <col min="6702" max="6702" width="39.42578125" style="10" customWidth="1"/>
    <col min="6703" max="6703" width="23.5703125" style="10" customWidth="1"/>
    <col min="6704" max="6912" width="11.42578125" style="10"/>
    <col min="6913" max="6913" width="3.85546875" style="10" customWidth="1"/>
    <col min="6914" max="6914" width="8.5703125" style="10" customWidth="1"/>
    <col min="6915" max="6915" width="8.140625" style="10" customWidth="1"/>
    <col min="6916" max="6919" width="3.85546875" style="10" customWidth="1"/>
    <col min="6920" max="6920" width="12.42578125" style="10" customWidth="1"/>
    <col min="6921" max="6921" width="3.85546875" style="10" customWidth="1"/>
    <col min="6922" max="6922" width="45.7109375" style="10" customWidth="1"/>
    <col min="6923" max="6925" width="0" style="10" hidden="1" customWidth="1"/>
    <col min="6926" max="6926" width="35.42578125" style="10" customWidth="1"/>
    <col min="6927" max="6927" width="25.85546875" style="10" customWidth="1"/>
    <col min="6928" max="6928" width="28.85546875" style="10" customWidth="1"/>
    <col min="6929" max="6929" width="30.42578125" style="10" customWidth="1"/>
    <col min="6930" max="6930" width="23.5703125" style="10" customWidth="1"/>
    <col min="6931" max="6931" width="24.42578125" style="10" customWidth="1"/>
    <col min="6932" max="6932" width="23" style="10" customWidth="1"/>
    <col min="6933" max="6933" width="26.85546875" style="10" customWidth="1"/>
    <col min="6934" max="6934" width="29" style="10" customWidth="1"/>
    <col min="6935" max="6935" width="34.140625" style="10" customWidth="1"/>
    <col min="6936" max="6936" width="29" style="10" customWidth="1"/>
    <col min="6937" max="6937" width="25" style="10" customWidth="1"/>
    <col min="6938" max="6938" width="36.28515625" style="10" customWidth="1"/>
    <col min="6939" max="6939" width="36.140625" style="10" customWidth="1"/>
    <col min="6940" max="6940" width="31.5703125" style="10" customWidth="1"/>
    <col min="6941" max="6941" width="0" style="10" hidden="1" customWidth="1"/>
    <col min="6942" max="6942" width="35.28515625" style="10" customWidth="1"/>
    <col min="6943" max="6943" width="31" style="10" customWidth="1"/>
    <col min="6944" max="6944" width="34.7109375" style="10" customWidth="1"/>
    <col min="6945" max="6945" width="31.42578125" style="10" customWidth="1"/>
    <col min="6946" max="6946" width="22.5703125" style="10" customWidth="1"/>
    <col min="6947" max="6950" width="0" style="10" hidden="1" customWidth="1"/>
    <col min="6951" max="6951" width="3" style="10" customWidth="1"/>
    <col min="6952" max="6952" width="26.85546875" style="10" customWidth="1"/>
    <col min="6953" max="6953" width="29.85546875" style="10" customWidth="1"/>
    <col min="6954" max="6954" width="32.7109375" style="10" customWidth="1"/>
    <col min="6955" max="6955" width="34.85546875" style="10" customWidth="1"/>
    <col min="6956" max="6956" width="30.42578125" style="10" customWidth="1"/>
    <col min="6957" max="6957" width="13.85546875" style="10" customWidth="1"/>
    <col min="6958" max="6958" width="39.42578125" style="10" customWidth="1"/>
    <col min="6959" max="6959" width="23.5703125" style="10" customWidth="1"/>
    <col min="6960" max="7168" width="11.42578125" style="10"/>
    <col min="7169" max="7169" width="3.85546875" style="10" customWidth="1"/>
    <col min="7170" max="7170" width="8.5703125" style="10" customWidth="1"/>
    <col min="7171" max="7171" width="8.140625" style="10" customWidth="1"/>
    <col min="7172" max="7175" width="3.85546875" style="10" customWidth="1"/>
    <col min="7176" max="7176" width="12.42578125" style="10" customWidth="1"/>
    <col min="7177" max="7177" width="3.85546875" style="10" customWidth="1"/>
    <col min="7178" max="7178" width="45.7109375" style="10" customWidth="1"/>
    <col min="7179" max="7181" width="0" style="10" hidden="1" customWidth="1"/>
    <col min="7182" max="7182" width="35.42578125" style="10" customWidth="1"/>
    <col min="7183" max="7183" width="25.85546875" style="10" customWidth="1"/>
    <col min="7184" max="7184" width="28.85546875" style="10" customWidth="1"/>
    <col min="7185" max="7185" width="30.42578125" style="10" customWidth="1"/>
    <col min="7186" max="7186" width="23.5703125" style="10" customWidth="1"/>
    <col min="7187" max="7187" width="24.42578125" style="10" customWidth="1"/>
    <col min="7188" max="7188" width="23" style="10" customWidth="1"/>
    <col min="7189" max="7189" width="26.85546875" style="10" customWidth="1"/>
    <col min="7190" max="7190" width="29" style="10" customWidth="1"/>
    <col min="7191" max="7191" width="34.140625" style="10" customWidth="1"/>
    <col min="7192" max="7192" width="29" style="10" customWidth="1"/>
    <col min="7193" max="7193" width="25" style="10" customWidth="1"/>
    <col min="7194" max="7194" width="36.28515625" style="10" customWidth="1"/>
    <col min="7195" max="7195" width="36.140625" style="10" customWidth="1"/>
    <col min="7196" max="7196" width="31.5703125" style="10" customWidth="1"/>
    <col min="7197" max="7197" width="0" style="10" hidden="1" customWidth="1"/>
    <col min="7198" max="7198" width="35.28515625" style="10" customWidth="1"/>
    <col min="7199" max="7199" width="31" style="10" customWidth="1"/>
    <col min="7200" max="7200" width="34.7109375" style="10" customWidth="1"/>
    <col min="7201" max="7201" width="31.42578125" style="10" customWidth="1"/>
    <col min="7202" max="7202" width="22.5703125" style="10" customWidth="1"/>
    <col min="7203" max="7206" width="0" style="10" hidden="1" customWidth="1"/>
    <col min="7207" max="7207" width="3" style="10" customWidth="1"/>
    <col min="7208" max="7208" width="26.85546875" style="10" customWidth="1"/>
    <col min="7209" max="7209" width="29.85546875" style="10" customWidth="1"/>
    <col min="7210" max="7210" width="32.7109375" style="10" customWidth="1"/>
    <col min="7211" max="7211" width="34.85546875" style="10" customWidth="1"/>
    <col min="7212" max="7212" width="30.42578125" style="10" customWidth="1"/>
    <col min="7213" max="7213" width="13.85546875" style="10" customWidth="1"/>
    <col min="7214" max="7214" width="39.42578125" style="10" customWidth="1"/>
    <col min="7215" max="7215" width="23.5703125" style="10" customWidth="1"/>
    <col min="7216" max="7424" width="11.42578125" style="10"/>
    <col min="7425" max="7425" width="3.85546875" style="10" customWidth="1"/>
    <col min="7426" max="7426" width="8.5703125" style="10" customWidth="1"/>
    <col min="7427" max="7427" width="8.140625" style="10" customWidth="1"/>
    <col min="7428" max="7431" width="3.85546875" style="10" customWidth="1"/>
    <col min="7432" max="7432" width="12.42578125" style="10" customWidth="1"/>
    <col min="7433" max="7433" width="3.85546875" style="10" customWidth="1"/>
    <col min="7434" max="7434" width="45.7109375" style="10" customWidth="1"/>
    <col min="7435" max="7437" width="0" style="10" hidden="1" customWidth="1"/>
    <col min="7438" max="7438" width="35.42578125" style="10" customWidth="1"/>
    <col min="7439" max="7439" width="25.85546875" style="10" customWidth="1"/>
    <col min="7440" max="7440" width="28.85546875" style="10" customWidth="1"/>
    <col min="7441" max="7441" width="30.42578125" style="10" customWidth="1"/>
    <col min="7442" max="7442" width="23.5703125" style="10" customWidth="1"/>
    <col min="7443" max="7443" width="24.42578125" style="10" customWidth="1"/>
    <col min="7444" max="7444" width="23" style="10" customWidth="1"/>
    <col min="7445" max="7445" width="26.85546875" style="10" customWidth="1"/>
    <col min="7446" max="7446" width="29" style="10" customWidth="1"/>
    <col min="7447" max="7447" width="34.140625" style="10" customWidth="1"/>
    <col min="7448" max="7448" width="29" style="10" customWidth="1"/>
    <col min="7449" max="7449" width="25" style="10" customWidth="1"/>
    <col min="7450" max="7450" width="36.28515625" style="10" customWidth="1"/>
    <col min="7451" max="7451" width="36.140625" style="10" customWidth="1"/>
    <col min="7452" max="7452" width="31.5703125" style="10" customWidth="1"/>
    <col min="7453" max="7453" width="0" style="10" hidden="1" customWidth="1"/>
    <col min="7454" max="7454" width="35.28515625" style="10" customWidth="1"/>
    <col min="7455" max="7455" width="31" style="10" customWidth="1"/>
    <col min="7456" max="7456" width="34.7109375" style="10" customWidth="1"/>
    <col min="7457" max="7457" width="31.42578125" style="10" customWidth="1"/>
    <col min="7458" max="7458" width="22.5703125" style="10" customWidth="1"/>
    <col min="7459" max="7462" width="0" style="10" hidden="1" customWidth="1"/>
    <col min="7463" max="7463" width="3" style="10" customWidth="1"/>
    <col min="7464" max="7464" width="26.85546875" style="10" customWidth="1"/>
    <col min="7465" max="7465" width="29.85546875" style="10" customWidth="1"/>
    <col min="7466" max="7466" width="32.7109375" style="10" customWidth="1"/>
    <col min="7467" max="7467" width="34.85546875" style="10" customWidth="1"/>
    <col min="7468" max="7468" width="30.42578125" style="10" customWidth="1"/>
    <col min="7469" max="7469" width="13.85546875" style="10" customWidth="1"/>
    <col min="7470" max="7470" width="39.42578125" style="10" customWidth="1"/>
    <col min="7471" max="7471" width="23.5703125" style="10" customWidth="1"/>
    <col min="7472" max="7680" width="11.42578125" style="10"/>
    <col min="7681" max="7681" width="3.85546875" style="10" customWidth="1"/>
    <col min="7682" max="7682" width="8.5703125" style="10" customWidth="1"/>
    <col min="7683" max="7683" width="8.140625" style="10" customWidth="1"/>
    <col min="7684" max="7687" width="3.85546875" style="10" customWidth="1"/>
    <col min="7688" max="7688" width="12.42578125" style="10" customWidth="1"/>
    <col min="7689" max="7689" width="3.85546875" style="10" customWidth="1"/>
    <col min="7690" max="7690" width="45.7109375" style="10" customWidth="1"/>
    <col min="7691" max="7693" width="0" style="10" hidden="1" customWidth="1"/>
    <col min="7694" max="7694" width="35.42578125" style="10" customWidth="1"/>
    <col min="7695" max="7695" width="25.85546875" style="10" customWidth="1"/>
    <col min="7696" max="7696" width="28.85546875" style="10" customWidth="1"/>
    <col min="7697" max="7697" width="30.42578125" style="10" customWidth="1"/>
    <col min="7698" max="7698" width="23.5703125" style="10" customWidth="1"/>
    <col min="7699" max="7699" width="24.42578125" style="10" customWidth="1"/>
    <col min="7700" max="7700" width="23" style="10" customWidth="1"/>
    <col min="7701" max="7701" width="26.85546875" style="10" customWidth="1"/>
    <col min="7702" max="7702" width="29" style="10" customWidth="1"/>
    <col min="7703" max="7703" width="34.140625" style="10" customWidth="1"/>
    <col min="7704" max="7704" width="29" style="10" customWidth="1"/>
    <col min="7705" max="7705" width="25" style="10" customWidth="1"/>
    <col min="7706" max="7706" width="36.28515625" style="10" customWidth="1"/>
    <col min="7707" max="7707" width="36.140625" style="10" customWidth="1"/>
    <col min="7708" max="7708" width="31.5703125" style="10" customWidth="1"/>
    <col min="7709" max="7709" width="0" style="10" hidden="1" customWidth="1"/>
    <col min="7710" max="7710" width="35.28515625" style="10" customWidth="1"/>
    <col min="7711" max="7711" width="31" style="10" customWidth="1"/>
    <col min="7712" max="7712" width="34.7109375" style="10" customWidth="1"/>
    <col min="7713" max="7713" width="31.42578125" style="10" customWidth="1"/>
    <col min="7714" max="7714" width="22.5703125" style="10" customWidth="1"/>
    <col min="7715" max="7718" width="0" style="10" hidden="1" customWidth="1"/>
    <col min="7719" max="7719" width="3" style="10" customWidth="1"/>
    <col min="7720" max="7720" width="26.85546875" style="10" customWidth="1"/>
    <col min="7721" max="7721" width="29.85546875" style="10" customWidth="1"/>
    <col min="7722" max="7722" width="32.7109375" style="10" customWidth="1"/>
    <col min="7723" max="7723" width="34.85546875" style="10" customWidth="1"/>
    <col min="7724" max="7724" width="30.42578125" style="10" customWidth="1"/>
    <col min="7725" max="7725" width="13.85546875" style="10" customWidth="1"/>
    <col min="7726" max="7726" width="39.42578125" style="10" customWidth="1"/>
    <col min="7727" max="7727" width="23.5703125" style="10" customWidth="1"/>
    <col min="7728" max="7936" width="11.42578125" style="10"/>
    <col min="7937" max="7937" width="3.85546875" style="10" customWidth="1"/>
    <col min="7938" max="7938" width="8.5703125" style="10" customWidth="1"/>
    <col min="7939" max="7939" width="8.140625" style="10" customWidth="1"/>
    <col min="7940" max="7943" width="3.85546875" style="10" customWidth="1"/>
    <col min="7944" max="7944" width="12.42578125" style="10" customWidth="1"/>
    <col min="7945" max="7945" width="3.85546875" style="10" customWidth="1"/>
    <col min="7946" max="7946" width="45.7109375" style="10" customWidth="1"/>
    <col min="7947" max="7949" width="0" style="10" hidden="1" customWidth="1"/>
    <col min="7950" max="7950" width="35.42578125" style="10" customWidth="1"/>
    <col min="7951" max="7951" width="25.85546875" style="10" customWidth="1"/>
    <col min="7952" max="7952" width="28.85546875" style="10" customWidth="1"/>
    <col min="7953" max="7953" width="30.42578125" style="10" customWidth="1"/>
    <col min="7954" max="7954" width="23.5703125" style="10" customWidth="1"/>
    <col min="7955" max="7955" width="24.42578125" style="10" customWidth="1"/>
    <col min="7956" max="7956" width="23" style="10" customWidth="1"/>
    <col min="7957" max="7957" width="26.85546875" style="10" customWidth="1"/>
    <col min="7958" max="7958" width="29" style="10" customWidth="1"/>
    <col min="7959" max="7959" width="34.140625" style="10" customWidth="1"/>
    <col min="7960" max="7960" width="29" style="10" customWidth="1"/>
    <col min="7961" max="7961" width="25" style="10" customWidth="1"/>
    <col min="7962" max="7962" width="36.28515625" style="10" customWidth="1"/>
    <col min="7963" max="7963" width="36.140625" style="10" customWidth="1"/>
    <col min="7964" max="7964" width="31.5703125" style="10" customWidth="1"/>
    <col min="7965" max="7965" width="0" style="10" hidden="1" customWidth="1"/>
    <col min="7966" max="7966" width="35.28515625" style="10" customWidth="1"/>
    <col min="7967" max="7967" width="31" style="10" customWidth="1"/>
    <col min="7968" max="7968" width="34.7109375" style="10" customWidth="1"/>
    <col min="7969" max="7969" width="31.42578125" style="10" customWidth="1"/>
    <col min="7970" max="7970" width="22.5703125" style="10" customWidth="1"/>
    <col min="7971" max="7974" width="0" style="10" hidden="1" customWidth="1"/>
    <col min="7975" max="7975" width="3" style="10" customWidth="1"/>
    <col min="7976" max="7976" width="26.85546875" style="10" customWidth="1"/>
    <col min="7977" max="7977" width="29.85546875" style="10" customWidth="1"/>
    <col min="7978" max="7978" width="32.7109375" style="10" customWidth="1"/>
    <col min="7979" max="7979" width="34.85546875" style="10" customWidth="1"/>
    <col min="7980" max="7980" width="30.42578125" style="10" customWidth="1"/>
    <col min="7981" max="7981" width="13.85546875" style="10" customWidth="1"/>
    <col min="7982" max="7982" width="39.42578125" style="10" customWidth="1"/>
    <col min="7983" max="7983" width="23.5703125" style="10" customWidth="1"/>
    <col min="7984" max="8192" width="11.42578125" style="10"/>
    <col min="8193" max="8193" width="3.85546875" style="10" customWidth="1"/>
    <col min="8194" max="8194" width="8.5703125" style="10" customWidth="1"/>
    <col min="8195" max="8195" width="8.140625" style="10" customWidth="1"/>
    <col min="8196" max="8199" width="3.85546875" style="10" customWidth="1"/>
    <col min="8200" max="8200" width="12.42578125" style="10" customWidth="1"/>
    <col min="8201" max="8201" width="3.85546875" style="10" customWidth="1"/>
    <col min="8202" max="8202" width="45.7109375" style="10" customWidth="1"/>
    <col min="8203" max="8205" width="0" style="10" hidden="1" customWidth="1"/>
    <col min="8206" max="8206" width="35.42578125" style="10" customWidth="1"/>
    <col min="8207" max="8207" width="25.85546875" style="10" customWidth="1"/>
    <col min="8208" max="8208" width="28.85546875" style="10" customWidth="1"/>
    <col min="8209" max="8209" width="30.42578125" style="10" customWidth="1"/>
    <col min="8210" max="8210" width="23.5703125" style="10" customWidth="1"/>
    <col min="8211" max="8211" width="24.42578125" style="10" customWidth="1"/>
    <col min="8212" max="8212" width="23" style="10" customWidth="1"/>
    <col min="8213" max="8213" width="26.85546875" style="10" customWidth="1"/>
    <col min="8214" max="8214" width="29" style="10" customWidth="1"/>
    <col min="8215" max="8215" width="34.140625" style="10" customWidth="1"/>
    <col min="8216" max="8216" width="29" style="10" customWidth="1"/>
    <col min="8217" max="8217" width="25" style="10" customWidth="1"/>
    <col min="8218" max="8218" width="36.28515625" style="10" customWidth="1"/>
    <col min="8219" max="8219" width="36.140625" style="10" customWidth="1"/>
    <col min="8220" max="8220" width="31.5703125" style="10" customWidth="1"/>
    <col min="8221" max="8221" width="0" style="10" hidden="1" customWidth="1"/>
    <col min="8222" max="8222" width="35.28515625" style="10" customWidth="1"/>
    <col min="8223" max="8223" width="31" style="10" customWidth="1"/>
    <col min="8224" max="8224" width="34.7109375" style="10" customWidth="1"/>
    <col min="8225" max="8225" width="31.42578125" style="10" customWidth="1"/>
    <col min="8226" max="8226" width="22.5703125" style="10" customWidth="1"/>
    <col min="8227" max="8230" width="0" style="10" hidden="1" customWidth="1"/>
    <col min="8231" max="8231" width="3" style="10" customWidth="1"/>
    <col min="8232" max="8232" width="26.85546875" style="10" customWidth="1"/>
    <col min="8233" max="8233" width="29.85546875" style="10" customWidth="1"/>
    <col min="8234" max="8234" width="32.7109375" style="10" customWidth="1"/>
    <col min="8235" max="8235" width="34.85546875" style="10" customWidth="1"/>
    <col min="8236" max="8236" width="30.42578125" style="10" customWidth="1"/>
    <col min="8237" max="8237" width="13.85546875" style="10" customWidth="1"/>
    <col min="8238" max="8238" width="39.42578125" style="10" customWidth="1"/>
    <col min="8239" max="8239" width="23.5703125" style="10" customWidth="1"/>
    <col min="8240" max="8448" width="11.42578125" style="10"/>
    <col min="8449" max="8449" width="3.85546875" style="10" customWidth="1"/>
    <col min="8450" max="8450" width="8.5703125" style="10" customWidth="1"/>
    <col min="8451" max="8451" width="8.140625" style="10" customWidth="1"/>
    <col min="8452" max="8455" width="3.85546875" style="10" customWidth="1"/>
    <col min="8456" max="8456" width="12.42578125" style="10" customWidth="1"/>
    <col min="8457" max="8457" width="3.85546875" style="10" customWidth="1"/>
    <col min="8458" max="8458" width="45.7109375" style="10" customWidth="1"/>
    <col min="8459" max="8461" width="0" style="10" hidden="1" customWidth="1"/>
    <col min="8462" max="8462" width="35.42578125" style="10" customWidth="1"/>
    <col min="8463" max="8463" width="25.85546875" style="10" customWidth="1"/>
    <col min="8464" max="8464" width="28.85546875" style="10" customWidth="1"/>
    <col min="8465" max="8465" width="30.42578125" style="10" customWidth="1"/>
    <col min="8466" max="8466" width="23.5703125" style="10" customWidth="1"/>
    <col min="8467" max="8467" width="24.42578125" style="10" customWidth="1"/>
    <col min="8468" max="8468" width="23" style="10" customWidth="1"/>
    <col min="8469" max="8469" width="26.85546875" style="10" customWidth="1"/>
    <col min="8470" max="8470" width="29" style="10" customWidth="1"/>
    <col min="8471" max="8471" width="34.140625" style="10" customWidth="1"/>
    <col min="8472" max="8472" width="29" style="10" customWidth="1"/>
    <col min="8473" max="8473" width="25" style="10" customWidth="1"/>
    <col min="8474" max="8474" width="36.28515625" style="10" customWidth="1"/>
    <col min="8475" max="8475" width="36.140625" style="10" customWidth="1"/>
    <col min="8476" max="8476" width="31.5703125" style="10" customWidth="1"/>
    <col min="8477" max="8477" width="0" style="10" hidden="1" customWidth="1"/>
    <col min="8478" max="8478" width="35.28515625" style="10" customWidth="1"/>
    <col min="8479" max="8479" width="31" style="10" customWidth="1"/>
    <col min="8480" max="8480" width="34.7109375" style="10" customWidth="1"/>
    <col min="8481" max="8481" width="31.42578125" style="10" customWidth="1"/>
    <col min="8482" max="8482" width="22.5703125" style="10" customWidth="1"/>
    <col min="8483" max="8486" width="0" style="10" hidden="1" customWidth="1"/>
    <col min="8487" max="8487" width="3" style="10" customWidth="1"/>
    <col min="8488" max="8488" width="26.85546875" style="10" customWidth="1"/>
    <col min="8489" max="8489" width="29.85546875" style="10" customWidth="1"/>
    <col min="8490" max="8490" width="32.7109375" style="10" customWidth="1"/>
    <col min="8491" max="8491" width="34.85546875" style="10" customWidth="1"/>
    <col min="8492" max="8492" width="30.42578125" style="10" customWidth="1"/>
    <col min="8493" max="8493" width="13.85546875" style="10" customWidth="1"/>
    <col min="8494" max="8494" width="39.42578125" style="10" customWidth="1"/>
    <col min="8495" max="8495" width="23.5703125" style="10" customWidth="1"/>
    <col min="8496" max="8704" width="11.42578125" style="10"/>
    <col min="8705" max="8705" width="3.85546875" style="10" customWidth="1"/>
    <col min="8706" max="8706" width="8.5703125" style="10" customWidth="1"/>
    <col min="8707" max="8707" width="8.140625" style="10" customWidth="1"/>
    <col min="8708" max="8711" width="3.85546875" style="10" customWidth="1"/>
    <col min="8712" max="8712" width="12.42578125" style="10" customWidth="1"/>
    <col min="8713" max="8713" width="3.85546875" style="10" customWidth="1"/>
    <col min="8714" max="8714" width="45.7109375" style="10" customWidth="1"/>
    <col min="8715" max="8717" width="0" style="10" hidden="1" customWidth="1"/>
    <col min="8718" max="8718" width="35.42578125" style="10" customWidth="1"/>
    <col min="8719" max="8719" width="25.85546875" style="10" customWidth="1"/>
    <col min="8720" max="8720" width="28.85546875" style="10" customWidth="1"/>
    <col min="8721" max="8721" width="30.42578125" style="10" customWidth="1"/>
    <col min="8722" max="8722" width="23.5703125" style="10" customWidth="1"/>
    <col min="8723" max="8723" width="24.42578125" style="10" customWidth="1"/>
    <col min="8724" max="8724" width="23" style="10" customWidth="1"/>
    <col min="8725" max="8725" width="26.85546875" style="10" customWidth="1"/>
    <col min="8726" max="8726" width="29" style="10" customWidth="1"/>
    <col min="8727" max="8727" width="34.140625" style="10" customWidth="1"/>
    <col min="8728" max="8728" width="29" style="10" customWidth="1"/>
    <col min="8729" max="8729" width="25" style="10" customWidth="1"/>
    <col min="8730" max="8730" width="36.28515625" style="10" customWidth="1"/>
    <col min="8731" max="8731" width="36.140625" style="10" customWidth="1"/>
    <col min="8732" max="8732" width="31.5703125" style="10" customWidth="1"/>
    <col min="8733" max="8733" width="0" style="10" hidden="1" customWidth="1"/>
    <col min="8734" max="8734" width="35.28515625" style="10" customWidth="1"/>
    <col min="8735" max="8735" width="31" style="10" customWidth="1"/>
    <col min="8736" max="8736" width="34.7109375" style="10" customWidth="1"/>
    <col min="8737" max="8737" width="31.42578125" style="10" customWidth="1"/>
    <col min="8738" max="8738" width="22.5703125" style="10" customWidth="1"/>
    <col min="8739" max="8742" width="0" style="10" hidden="1" customWidth="1"/>
    <col min="8743" max="8743" width="3" style="10" customWidth="1"/>
    <col min="8744" max="8744" width="26.85546875" style="10" customWidth="1"/>
    <col min="8745" max="8745" width="29.85546875" style="10" customWidth="1"/>
    <col min="8746" max="8746" width="32.7109375" style="10" customWidth="1"/>
    <col min="8747" max="8747" width="34.85546875" style="10" customWidth="1"/>
    <col min="8748" max="8748" width="30.42578125" style="10" customWidth="1"/>
    <col min="8749" max="8749" width="13.85546875" style="10" customWidth="1"/>
    <col min="8750" max="8750" width="39.42578125" style="10" customWidth="1"/>
    <col min="8751" max="8751" width="23.5703125" style="10" customWidth="1"/>
    <col min="8752" max="8960" width="11.42578125" style="10"/>
    <col min="8961" max="8961" width="3.85546875" style="10" customWidth="1"/>
    <col min="8962" max="8962" width="8.5703125" style="10" customWidth="1"/>
    <col min="8963" max="8963" width="8.140625" style="10" customWidth="1"/>
    <col min="8964" max="8967" width="3.85546875" style="10" customWidth="1"/>
    <col min="8968" max="8968" width="12.42578125" style="10" customWidth="1"/>
    <col min="8969" max="8969" width="3.85546875" style="10" customWidth="1"/>
    <col min="8970" max="8970" width="45.7109375" style="10" customWidth="1"/>
    <col min="8971" max="8973" width="0" style="10" hidden="1" customWidth="1"/>
    <col min="8974" max="8974" width="35.42578125" style="10" customWidth="1"/>
    <col min="8975" max="8975" width="25.85546875" style="10" customWidth="1"/>
    <col min="8976" max="8976" width="28.85546875" style="10" customWidth="1"/>
    <col min="8977" max="8977" width="30.42578125" style="10" customWidth="1"/>
    <col min="8978" max="8978" width="23.5703125" style="10" customWidth="1"/>
    <col min="8979" max="8979" width="24.42578125" style="10" customWidth="1"/>
    <col min="8980" max="8980" width="23" style="10" customWidth="1"/>
    <col min="8981" max="8981" width="26.85546875" style="10" customWidth="1"/>
    <col min="8982" max="8982" width="29" style="10" customWidth="1"/>
    <col min="8983" max="8983" width="34.140625" style="10" customWidth="1"/>
    <col min="8984" max="8984" width="29" style="10" customWidth="1"/>
    <col min="8985" max="8985" width="25" style="10" customWidth="1"/>
    <col min="8986" max="8986" width="36.28515625" style="10" customWidth="1"/>
    <col min="8987" max="8987" width="36.140625" style="10" customWidth="1"/>
    <col min="8988" max="8988" width="31.5703125" style="10" customWidth="1"/>
    <col min="8989" max="8989" width="0" style="10" hidden="1" customWidth="1"/>
    <col min="8990" max="8990" width="35.28515625" style="10" customWidth="1"/>
    <col min="8991" max="8991" width="31" style="10" customWidth="1"/>
    <col min="8992" max="8992" width="34.7109375" style="10" customWidth="1"/>
    <col min="8993" max="8993" width="31.42578125" style="10" customWidth="1"/>
    <col min="8994" max="8994" width="22.5703125" style="10" customWidth="1"/>
    <col min="8995" max="8998" width="0" style="10" hidden="1" customWidth="1"/>
    <col min="8999" max="8999" width="3" style="10" customWidth="1"/>
    <col min="9000" max="9000" width="26.85546875" style="10" customWidth="1"/>
    <col min="9001" max="9001" width="29.85546875" style="10" customWidth="1"/>
    <col min="9002" max="9002" width="32.7109375" style="10" customWidth="1"/>
    <col min="9003" max="9003" width="34.85546875" style="10" customWidth="1"/>
    <col min="9004" max="9004" width="30.42578125" style="10" customWidth="1"/>
    <col min="9005" max="9005" width="13.85546875" style="10" customWidth="1"/>
    <col min="9006" max="9006" width="39.42578125" style="10" customWidth="1"/>
    <col min="9007" max="9007" width="23.5703125" style="10" customWidth="1"/>
    <col min="9008" max="9216" width="11.42578125" style="10"/>
    <col min="9217" max="9217" width="3.85546875" style="10" customWidth="1"/>
    <col min="9218" max="9218" width="8.5703125" style="10" customWidth="1"/>
    <col min="9219" max="9219" width="8.140625" style="10" customWidth="1"/>
    <col min="9220" max="9223" width="3.85546875" style="10" customWidth="1"/>
    <col min="9224" max="9224" width="12.42578125" style="10" customWidth="1"/>
    <col min="9225" max="9225" width="3.85546875" style="10" customWidth="1"/>
    <col min="9226" max="9226" width="45.7109375" style="10" customWidth="1"/>
    <col min="9227" max="9229" width="0" style="10" hidden="1" customWidth="1"/>
    <col min="9230" max="9230" width="35.42578125" style="10" customWidth="1"/>
    <col min="9231" max="9231" width="25.85546875" style="10" customWidth="1"/>
    <col min="9232" max="9232" width="28.85546875" style="10" customWidth="1"/>
    <col min="9233" max="9233" width="30.42578125" style="10" customWidth="1"/>
    <col min="9234" max="9234" width="23.5703125" style="10" customWidth="1"/>
    <col min="9235" max="9235" width="24.42578125" style="10" customWidth="1"/>
    <col min="9236" max="9236" width="23" style="10" customWidth="1"/>
    <col min="9237" max="9237" width="26.85546875" style="10" customWidth="1"/>
    <col min="9238" max="9238" width="29" style="10" customWidth="1"/>
    <col min="9239" max="9239" width="34.140625" style="10" customWidth="1"/>
    <col min="9240" max="9240" width="29" style="10" customWidth="1"/>
    <col min="9241" max="9241" width="25" style="10" customWidth="1"/>
    <col min="9242" max="9242" width="36.28515625" style="10" customWidth="1"/>
    <col min="9243" max="9243" width="36.140625" style="10" customWidth="1"/>
    <col min="9244" max="9244" width="31.5703125" style="10" customWidth="1"/>
    <col min="9245" max="9245" width="0" style="10" hidden="1" customWidth="1"/>
    <col min="9246" max="9246" width="35.28515625" style="10" customWidth="1"/>
    <col min="9247" max="9247" width="31" style="10" customWidth="1"/>
    <col min="9248" max="9248" width="34.7109375" style="10" customWidth="1"/>
    <col min="9249" max="9249" width="31.42578125" style="10" customWidth="1"/>
    <col min="9250" max="9250" width="22.5703125" style="10" customWidth="1"/>
    <col min="9251" max="9254" width="0" style="10" hidden="1" customWidth="1"/>
    <col min="9255" max="9255" width="3" style="10" customWidth="1"/>
    <col min="9256" max="9256" width="26.85546875" style="10" customWidth="1"/>
    <col min="9257" max="9257" width="29.85546875" style="10" customWidth="1"/>
    <col min="9258" max="9258" width="32.7109375" style="10" customWidth="1"/>
    <col min="9259" max="9259" width="34.85546875" style="10" customWidth="1"/>
    <col min="9260" max="9260" width="30.42578125" style="10" customWidth="1"/>
    <col min="9261" max="9261" width="13.85546875" style="10" customWidth="1"/>
    <col min="9262" max="9262" width="39.42578125" style="10" customWidth="1"/>
    <col min="9263" max="9263" width="23.5703125" style="10" customWidth="1"/>
    <col min="9264" max="9472" width="11.42578125" style="10"/>
    <col min="9473" max="9473" width="3.85546875" style="10" customWidth="1"/>
    <col min="9474" max="9474" width="8.5703125" style="10" customWidth="1"/>
    <col min="9475" max="9475" width="8.140625" style="10" customWidth="1"/>
    <col min="9476" max="9479" width="3.85546875" style="10" customWidth="1"/>
    <col min="9480" max="9480" width="12.42578125" style="10" customWidth="1"/>
    <col min="9481" max="9481" width="3.85546875" style="10" customWidth="1"/>
    <col min="9482" max="9482" width="45.7109375" style="10" customWidth="1"/>
    <col min="9483" max="9485" width="0" style="10" hidden="1" customWidth="1"/>
    <col min="9486" max="9486" width="35.42578125" style="10" customWidth="1"/>
    <col min="9487" max="9487" width="25.85546875" style="10" customWidth="1"/>
    <col min="9488" max="9488" width="28.85546875" style="10" customWidth="1"/>
    <col min="9489" max="9489" width="30.42578125" style="10" customWidth="1"/>
    <col min="9490" max="9490" width="23.5703125" style="10" customWidth="1"/>
    <col min="9491" max="9491" width="24.42578125" style="10" customWidth="1"/>
    <col min="9492" max="9492" width="23" style="10" customWidth="1"/>
    <col min="9493" max="9493" width="26.85546875" style="10" customWidth="1"/>
    <col min="9494" max="9494" width="29" style="10" customWidth="1"/>
    <col min="9495" max="9495" width="34.140625" style="10" customWidth="1"/>
    <col min="9496" max="9496" width="29" style="10" customWidth="1"/>
    <col min="9497" max="9497" width="25" style="10" customWidth="1"/>
    <col min="9498" max="9498" width="36.28515625" style="10" customWidth="1"/>
    <col min="9499" max="9499" width="36.140625" style="10" customWidth="1"/>
    <col min="9500" max="9500" width="31.5703125" style="10" customWidth="1"/>
    <col min="9501" max="9501" width="0" style="10" hidden="1" customWidth="1"/>
    <col min="9502" max="9502" width="35.28515625" style="10" customWidth="1"/>
    <col min="9503" max="9503" width="31" style="10" customWidth="1"/>
    <col min="9504" max="9504" width="34.7109375" style="10" customWidth="1"/>
    <col min="9505" max="9505" width="31.42578125" style="10" customWidth="1"/>
    <col min="9506" max="9506" width="22.5703125" style="10" customWidth="1"/>
    <col min="9507" max="9510" width="0" style="10" hidden="1" customWidth="1"/>
    <col min="9511" max="9511" width="3" style="10" customWidth="1"/>
    <col min="9512" max="9512" width="26.85546875" style="10" customWidth="1"/>
    <col min="9513" max="9513" width="29.85546875" style="10" customWidth="1"/>
    <col min="9514" max="9514" width="32.7109375" style="10" customWidth="1"/>
    <col min="9515" max="9515" width="34.85546875" style="10" customWidth="1"/>
    <col min="9516" max="9516" width="30.42578125" style="10" customWidth="1"/>
    <col min="9517" max="9517" width="13.85546875" style="10" customWidth="1"/>
    <col min="9518" max="9518" width="39.42578125" style="10" customWidth="1"/>
    <col min="9519" max="9519" width="23.5703125" style="10" customWidth="1"/>
    <col min="9520" max="9728" width="11.42578125" style="10"/>
    <col min="9729" max="9729" width="3.85546875" style="10" customWidth="1"/>
    <col min="9730" max="9730" width="8.5703125" style="10" customWidth="1"/>
    <col min="9731" max="9731" width="8.140625" style="10" customWidth="1"/>
    <col min="9732" max="9735" width="3.85546875" style="10" customWidth="1"/>
    <col min="9736" max="9736" width="12.42578125" style="10" customWidth="1"/>
    <col min="9737" max="9737" width="3.85546875" style="10" customWidth="1"/>
    <col min="9738" max="9738" width="45.7109375" style="10" customWidth="1"/>
    <col min="9739" max="9741" width="0" style="10" hidden="1" customWidth="1"/>
    <col min="9742" max="9742" width="35.42578125" style="10" customWidth="1"/>
    <col min="9743" max="9743" width="25.85546875" style="10" customWidth="1"/>
    <col min="9744" max="9744" width="28.85546875" style="10" customWidth="1"/>
    <col min="9745" max="9745" width="30.42578125" style="10" customWidth="1"/>
    <col min="9746" max="9746" width="23.5703125" style="10" customWidth="1"/>
    <col min="9747" max="9747" width="24.42578125" style="10" customWidth="1"/>
    <col min="9748" max="9748" width="23" style="10" customWidth="1"/>
    <col min="9749" max="9749" width="26.85546875" style="10" customWidth="1"/>
    <col min="9750" max="9750" width="29" style="10" customWidth="1"/>
    <col min="9751" max="9751" width="34.140625" style="10" customWidth="1"/>
    <col min="9752" max="9752" width="29" style="10" customWidth="1"/>
    <col min="9753" max="9753" width="25" style="10" customWidth="1"/>
    <col min="9754" max="9754" width="36.28515625" style="10" customWidth="1"/>
    <col min="9755" max="9755" width="36.140625" style="10" customWidth="1"/>
    <col min="9756" max="9756" width="31.5703125" style="10" customWidth="1"/>
    <col min="9757" max="9757" width="0" style="10" hidden="1" customWidth="1"/>
    <col min="9758" max="9758" width="35.28515625" style="10" customWidth="1"/>
    <col min="9759" max="9759" width="31" style="10" customWidth="1"/>
    <col min="9760" max="9760" width="34.7109375" style="10" customWidth="1"/>
    <col min="9761" max="9761" width="31.42578125" style="10" customWidth="1"/>
    <col min="9762" max="9762" width="22.5703125" style="10" customWidth="1"/>
    <col min="9763" max="9766" width="0" style="10" hidden="1" customWidth="1"/>
    <col min="9767" max="9767" width="3" style="10" customWidth="1"/>
    <col min="9768" max="9768" width="26.85546875" style="10" customWidth="1"/>
    <col min="9769" max="9769" width="29.85546875" style="10" customWidth="1"/>
    <col min="9770" max="9770" width="32.7109375" style="10" customWidth="1"/>
    <col min="9771" max="9771" width="34.85546875" style="10" customWidth="1"/>
    <col min="9772" max="9772" width="30.42578125" style="10" customWidth="1"/>
    <col min="9773" max="9773" width="13.85546875" style="10" customWidth="1"/>
    <col min="9774" max="9774" width="39.42578125" style="10" customWidth="1"/>
    <col min="9775" max="9775" width="23.5703125" style="10" customWidth="1"/>
    <col min="9776" max="9984" width="11.42578125" style="10"/>
    <col min="9985" max="9985" width="3.85546875" style="10" customWidth="1"/>
    <col min="9986" max="9986" width="8.5703125" style="10" customWidth="1"/>
    <col min="9987" max="9987" width="8.140625" style="10" customWidth="1"/>
    <col min="9988" max="9991" width="3.85546875" style="10" customWidth="1"/>
    <col min="9992" max="9992" width="12.42578125" style="10" customWidth="1"/>
    <col min="9993" max="9993" width="3.85546875" style="10" customWidth="1"/>
    <col min="9994" max="9994" width="45.7109375" style="10" customWidth="1"/>
    <col min="9995" max="9997" width="0" style="10" hidden="1" customWidth="1"/>
    <col min="9998" max="9998" width="35.42578125" style="10" customWidth="1"/>
    <col min="9999" max="9999" width="25.85546875" style="10" customWidth="1"/>
    <col min="10000" max="10000" width="28.85546875" style="10" customWidth="1"/>
    <col min="10001" max="10001" width="30.42578125" style="10" customWidth="1"/>
    <col min="10002" max="10002" width="23.5703125" style="10" customWidth="1"/>
    <col min="10003" max="10003" width="24.42578125" style="10" customWidth="1"/>
    <col min="10004" max="10004" width="23" style="10" customWidth="1"/>
    <col min="10005" max="10005" width="26.85546875" style="10" customWidth="1"/>
    <col min="10006" max="10006" width="29" style="10" customWidth="1"/>
    <col min="10007" max="10007" width="34.140625" style="10" customWidth="1"/>
    <col min="10008" max="10008" width="29" style="10" customWidth="1"/>
    <col min="10009" max="10009" width="25" style="10" customWidth="1"/>
    <col min="10010" max="10010" width="36.28515625" style="10" customWidth="1"/>
    <col min="10011" max="10011" width="36.140625" style="10" customWidth="1"/>
    <col min="10012" max="10012" width="31.5703125" style="10" customWidth="1"/>
    <col min="10013" max="10013" width="0" style="10" hidden="1" customWidth="1"/>
    <col min="10014" max="10014" width="35.28515625" style="10" customWidth="1"/>
    <col min="10015" max="10015" width="31" style="10" customWidth="1"/>
    <col min="10016" max="10016" width="34.7109375" style="10" customWidth="1"/>
    <col min="10017" max="10017" width="31.42578125" style="10" customWidth="1"/>
    <col min="10018" max="10018" width="22.5703125" style="10" customWidth="1"/>
    <col min="10019" max="10022" width="0" style="10" hidden="1" customWidth="1"/>
    <col min="10023" max="10023" width="3" style="10" customWidth="1"/>
    <col min="10024" max="10024" width="26.85546875" style="10" customWidth="1"/>
    <col min="10025" max="10025" width="29.85546875" style="10" customWidth="1"/>
    <col min="10026" max="10026" width="32.7109375" style="10" customWidth="1"/>
    <col min="10027" max="10027" width="34.85546875" style="10" customWidth="1"/>
    <col min="10028" max="10028" width="30.42578125" style="10" customWidth="1"/>
    <col min="10029" max="10029" width="13.85546875" style="10" customWidth="1"/>
    <col min="10030" max="10030" width="39.42578125" style="10" customWidth="1"/>
    <col min="10031" max="10031" width="23.5703125" style="10" customWidth="1"/>
    <col min="10032" max="10240" width="11.42578125" style="10"/>
    <col min="10241" max="10241" width="3.85546875" style="10" customWidth="1"/>
    <col min="10242" max="10242" width="8.5703125" style="10" customWidth="1"/>
    <col min="10243" max="10243" width="8.140625" style="10" customWidth="1"/>
    <col min="10244" max="10247" width="3.85546875" style="10" customWidth="1"/>
    <col min="10248" max="10248" width="12.42578125" style="10" customWidth="1"/>
    <col min="10249" max="10249" width="3.85546875" style="10" customWidth="1"/>
    <col min="10250" max="10250" width="45.7109375" style="10" customWidth="1"/>
    <col min="10251" max="10253" width="0" style="10" hidden="1" customWidth="1"/>
    <col min="10254" max="10254" width="35.42578125" style="10" customWidth="1"/>
    <col min="10255" max="10255" width="25.85546875" style="10" customWidth="1"/>
    <col min="10256" max="10256" width="28.85546875" style="10" customWidth="1"/>
    <col min="10257" max="10257" width="30.42578125" style="10" customWidth="1"/>
    <col min="10258" max="10258" width="23.5703125" style="10" customWidth="1"/>
    <col min="10259" max="10259" width="24.42578125" style="10" customWidth="1"/>
    <col min="10260" max="10260" width="23" style="10" customWidth="1"/>
    <col min="10261" max="10261" width="26.85546875" style="10" customWidth="1"/>
    <col min="10262" max="10262" width="29" style="10" customWidth="1"/>
    <col min="10263" max="10263" width="34.140625" style="10" customWidth="1"/>
    <col min="10264" max="10264" width="29" style="10" customWidth="1"/>
    <col min="10265" max="10265" width="25" style="10" customWidth="1"/>
    <col min="10266" max="10266" width="36.28515625" style="10" customWidth="1"/>
    <col min="10267" max="10267" width="36.140625" style="10" customWidth="1"/>
    <col min="10268" max="10268" width="31.5703125" style="10" customWidth="1"/>
    <col min="10269" max="10269" width="0" style="10" hidden="1" customWidth="1"/>
    <col min="10270" max="10270" width="35.28515625" style="10" customWidth="1"/>
    <col min="10271" max="10271" width="31" style="10" customWidth="1"/>
    <col min="10272" max="10272" width="34.7109375" style="10" customWidth="1"/>
    <col min="10273" max="10273" width="31.42578125" style="10" customWidth="1"/>
    <col min="10274" max="10274" width="22.5703125" style="10" customWidth="1"/>
    <col min="10275" max="10278" width="0" style="10" hidden="1" customWidth="1"/>
    <col min="10279" max="10279" width="3" style="10" customWidth="1"/>
    <col min="10280" max="10280" width="26.85546875" style="10" customWidth="1"/>
    <col min="10281" max="10281" width="29.85546875" style="10" customWidth="1"/>
    <col min="10282" max="10282" width="32.7109375" style="10" customWidth="1"/>
    <col min="10283" max="10283" width="34.85546875" style="10" customWidth="1"/>
    <col min="10284" max="10284" width="30.42578125" style="10" customWidth="1"/>
    <col min="10285" max="10285" width="13.85546875" style="10" customWidth="1"/>
    <col min="10286" max="10286" width="39.42578125" style="10" customWidth="1"/>
    <col min="10287" max="10287" width="23.5703125" style="10" customWidth="1"/>
    <col min="10288" max="10496" width="11.42578125" style="10"/>
    <col min="10497" max="10497" width="3.85546875" style="10" customWidth="1"/>
    <col min="10498" max="10498" width="8.5703125" style="10" customWidth="1"/>
    <col min="10499" max="10499" width="8.140625" style="10" customWidth="1"/>
    <col min="10500" max="10503" width="3.85546875" style="10" customWidth="1"/>
    <col min="10504" max="10504" width="12.42578125" style="10" customWidth="1"/>
    <col min="10505" max="10505" width="3.85546875" style="10" customWidth="1"/>
    <col min="10506" max="10506" width="45.7109375" style="10" customWidth="1"/>
    <col min="10507" max="10509" width="0" style="10" hidden="1" customWidth="1"/>
    <col min="10510" max="10510" width="35.42578125" style="10" customWidth="1"/>
    <col min="10511" max="10511" width="25.85546875" style="10" customWidth="1"/>
    <col min="10512" max="10512" width="28.85546875" style="10" customWidth="1"/>
    <col min="10513" max="10513" width="30.42578125" style="10" customWidth="1"/>
    <col min="10514" max="10514" width="23.5703125" style="10" customWidth="1"/>
    <col min="10515" max="10515" width="24.42578125" style="10" customWidth="1"/>
    <col min="10516" max="10516" width="23" style="10" customWidth="1"/>
    <col min="10517" max="10517" width="26.85546875" style="10" customWidth="1"/>
    <col min="10518" max="10518" width="29" style="10" customWidth="1"/>
    <col min="10519" max="10519" width="34.140625" style="10" customWidth="1"/>
    <col min="10520" max="10520" width="29" style="10" customWidth="1"/>
    <col min="10521" max="10521" width="25" style="10" customWidth="1"/>
    <col min="10522" max="10522" width="36.28515625" style="10" customWidth="1"/>
    <col min="10523" max="10523" width="36.140625" style="10" customWidth="1"/>
    <col min="10524" max="10524" width="31.5703125" style="10" customWidth="1"/>
    <col min="10525" max="10525" width="0" style="10" hidden="1" customWidth="1"/>
    <col min="10526" max="10526" width="35.28515625" style="10" customWidth="1"/>
    <col min="10527" max="10527" width="31" style="10" customWidth="1"/>
    <col min="10528" max="10528" width="34.7109375" style="10" customWidth="1"/>
    <col min="10529" max="10529" width="31.42578125" style="10" customWidth="1"/>
    <col min="10530" max="10530" width="22.5703125" style="10" customWidth="1"/>
    <col min="10531" max="10534" width="0" style="10" hidden="1" customWidth="1"/>
    <col min="10535" max="10535" width="3" style="10" customWidth="1"/>
    <col min="10536" max="10536" width="26.85546875" style="10" customWidth="1"/>
    <col min="10537" max="10537" width="29.85546875" style="10" customWidth="1"/>
    <col min="10538" max="10538" width="32.7109375" style="10" customWidth="1"/>
    <col min="10539" max="10539" width="34.85546875" style="10" customWidth="1"/>
    <col min="10540" max="10540" width="30.42578125" style="10" customWidth="1"/>
    <col min="10541" max="10541" width="13.85546875" style="10" customWidth="1"/>
    <col min="10542" max="10542" width="39.42578125" style="10" customWidth="1"/>
    <col min="10543" max="10543" width="23.5703125" style="10" customWidth="1"/>
    <col min="10544" max="10752" width="11.42578125" style="10"/>
    <col min="10753" max="10753" width="3.85546875" style="10" customWidth="1"/>
    <col min="10754" max="10754" width="8.5703125" style="10" customWidth="1"/>
    <col min="10755" max="10755" width="8.140625" style="10" customWidth="1"/>
    <col min="10756" max="10759" width="3.85546875" style="10" customWidth="1"/>
    <col min="10760" max="10760" width="12.42578125" style="10" customWidth="1"/>
    <col min="10761" max="10761" width="3.85546875" style="10" customWidth="1"/>
    <col min="10762" max="10762" width="45.7109375" style="10" customWidth="1"/>
    <col min="10763" max="10765" width="0" style="10" hidden="1" customWidth="1"/>
    <col min="10766" max="10766" width="35.42578125" style="10" customWidth="1"/>
    <col min="10767" max="10767" width="25.85546875" style="10" customWidth="1"/>
    <col min="10768" max="10768" width="28.85546875" style="10" customWidth="1"/>
    <col min="10769" max="10769" width="30.42578125" style="10" customWidth="1"/>
    <col min="10770" max="10770" width="23.5703125" style="10" customWidth="1"/>
    <col min="10771" max="10771" width="24.42578125" style="10" customWidth="1"/>
    <col min="10772" max="10772" width="23" style="10" customWidth="1"/>
    <col min="10773" max="10773" width="26.85546875" style="10" customWidth="1"/>
    <col min="10774" max="10774" width="29" style="10" customWidth="1"/>
    <col min="10775" max="10775" width="34.140625" style="10" customWidth="1"/>
    <col min="10776" max="10776" width="29" style="10" customWidth="1"/>
    <col min="10777" max="10777" width="25" style="10" customWidth="1"/>
    <col min="10778" max="10778" width="36.28515625" style="10" customWidth="1"/>
    <col min="10779" max="10779" width="36.140625" style="10" customWidth="1"/>
    <col min="10780" max="10780" width="31.5703125" style="10" customWidth="1"/>
    <col min="10781" max="10781" width="0" style="10" hidden="1" customWidth="1"/>
    <col min="10782" max="10782" width="35.28515625" style="10" customWidth="1"/>
    <col min="10783" max="10783" width="31" style="10" customWidth="1"/>
    <col min="10784" max="10784" width="34.7109375" style="10" customWidth="1"/>
    <col min="10785" max="10785" width="31.42578125" style="10" customWidth="1"/>
    <col min="10786" max="10786" width="22.5703125" style="10" customWidth="1"/>
    <col min="10787" max="10790" width="0" style="10" hidden="1" customWidth="1"/>
    <col min="10791" max="10791" width="3" style="10" customWidth="1"/>
    <col min="10792" max="10792" width="26.85546875" style="10" customWidth="1"/>
    <col min="10793" max="10793" width="29.85546875" style="10" customWidth="1"/>
    <col min="10794" max="10794" width="32.7109375" style="10" customWidth="1"/>
    <col min="10795" max="10795" width="34.85546875" style="10" customWidth="1"/>
    <col min="10796" max="10796" width="30.42578125" style="10" customWidth="1"/>
    <col min="10797" max="10797" width="13.85546875" style="10" customWidth="1"/>
    <col min="10798" max="10798" width="39.42578125" style="10" customWidth="1"/>
    <col min="10799" max="10799" width="23.5703125" style="10" customWidth="1"/>
    <col min="10800" max="11008" width="11.42578125" style="10"/>
    <col min="11009" max="11009" width="3.85546875" style="10" customWidth="1"/>
    <col min="11010" max="11010" width="8.5703125" style="10" customWidth="1"/>
    <col min="11011" max="11011" width="8.140625" style="10" customWidth="1"/>
    <col min="11012" max="11015" width="3.85546875" style="10" customWidth="1"/>
    <col min="11016" max="11016" width="12.42578125" style="10" customWidth="1"/>
    <col min="11017" max="11017" width="3.85546875" style="10" customWidth="1"/>
    <col min="11018" max="11018" width="45.7109375" style="10" customWidth="1"/>
    <col min="11019" max="11021" width="0" style="10" hidden="1" customWidth="1"/>
    <col min="11022" max="11022" width="35.42578125" style="10" customWidth="1"/>
    <col min="11023" max="11023" width="25.85546875" style="10" customWidth="1"/>
    <col min="11024" max="11024" width="28.85546875" style="10" customWidth="1"/>
    <col min="11025" max="11025" width="30.42578125" style="10" customWidth="1"/>
    <col min="11026" max="11026" width="23.5703125" style="10" customWidth="1"/>
    <col min="11027" max="11027" width="24.42578125" style="10" customWidth="1"/>
    <col min="11028" max="11028" width="23" style="10" customWidth="1"/>
    <col min="11029" max="11029" width="26.85546875" style="10" customWidth="1"/>
    <col min="11030" max="11030" width="29" style="10" customWidth="1"/>
    <col min="11031" max="11031" width="34.140625" style="10" customWidth="1"/>
    <col min="11032" max="11032" width="29" style="10" customWidth="1"/>
    <col min="11033" max="11033" width="25" style="10" customWidth="1"/>
    <col min="11034" max="11034" width="36.28515625" style="10" customWidth="1"/>
    <col min="11035" max="11035" width="36.140625" style="10" customWidth="1"/>
    <col min="11036" max="11036" width="31.5703125" style="10" customWidth="1"/>
    <col min="11037" max="11037" width="0" style="10" hidden="1" customWidth="1"/>
    <col min="11038" max="11038" width="35.28515625" style="10" customWidth="1"/>
    <col min="11039" max="11039" width="31" style="10" customWidth="1"/>
    <col min="11040" max="11040" width="34.7109375" style="10" customWidth="1"/>
    <col min="11041" max="11041" width="31.42578125" style="10" customWidth="1"/>
    <col min="11042" max="11042" width="22.5703125" style="10" customWidth="1"/>
    <col min="11043" max="11046" width="0" style="10" hidden="1" customWidth="1"/>
    <col min="11047" max="11047" width="3" style="10" customWidth="1"/>
    <col min="11048" max="11048" width="26.85546875" style="10" customWidth="1"/>
    <col min="11049" max="11049" width="29.85546875" style="10" customWidth="1"/>
    <col min="11050" max="11050" width="32.7109375" style="10" customWidth="1"/>
    <col min="11051" max="11051" width="34.85546875" style="10" customWidth="1"/>
    <col min="11052" max="11052" width="30.42578125" style="10" customWidth="1"/>
    <col min="11053" max="11053" width="13.85546875" style="10" customWidth="1"/>
    <col min="11054" max="11054" width="39.42578125" style="10" customWidth="1"/>
    <col min="11055" max="11055" width="23.5703125" style="10" customWidth="1"/>
    <col min="11056" max="11264" width="11.42578125" style="10"/>
    <col min="11265" max="11265" width="3.85546875" style="10" customWidth="1"/>
    <col min="11266" max="11266" width="8.5703125" style="10" customWidth="1"/>
    <col min="11267" max="11267" width="8.140625" style="10" customWidth="1"/>
    <col min="11268" max="11271" width="3.85546875" style="10" customWidth="1"/>
    <col min="11272" max="11272" width="12.42578125" style="10" customWidth="1"/>
    <col min="11273" max="11273" width="3.85546875" style="10" customWidth="1"/>
    <col min="11274" max="11274" width="45.7109375" style="10" customWidth="1"/>
    <col min="11275" max="11277" width="0" style="10" hidden="1" customWidth="1"/>
    <col min="11278" max="11278" width="35.42578125" style="10" customWidth="1"/>
    <col min="11279" max="11279" width="25.85546875" style="10" customWidth="1"/>
    <col min="11280" max="11280" width="28.85546875" style="10" customWidth="1"/>
    <col min="11281" max="11281" width="30.42578125" style="10" customWidth="1"/>
    <col min="11282" max="11282" width="23.5703125" style="10" customWidth="1"/>
    <col min="11283" max="11283" width="24.42578125" style="10" customWidth="1"/>
    <col min="11284" max="11284" width="23" style="10" customWidth="1"/>
    <col min="11285" max="11285" width="26.85546875" style="10" customWidth="1"/>
    <col min="11286" max="11286" width="29" style="10" customWidth="1"/>
    <col min="11287" max="11287" width="34.140625" style="10" customWidth="1"/>
    <col min="11288" max="11288" width="29" style="10" customWidth="1"/>
    <col min="11289" max="11289" width="25" style="10" customWidth="1"/>
    <col min="11290" max="11290" width="36.28515625" style="10" customWidth="1"/>
    <col min="11291" max="11291" width="36.140625" style="10" customWidth="1"/>
    <col min="11292" max="11292" width="31.5703125" style="10" customWidth="1"/>
    <col min="11293" max="11293" width="0" style="10" hidden="1" customWidth="1"/>
    <col min="11294" max="11294" width="35.28515625" style="10" customWidth="1"/>
    <col min="11295" max="11295" width="31" style="10" customWidth="1"/>
    <col min="11296" max="11296" width="34.7109375" style="10" customWidth="1"/>
    <col min="11297" max="11297" width="31.42578125" style="10" customWidth="1"/>
    <col min="11298" max="11298" width="22.5703125" style="10" customWidth="1"/>
    <col min="11299" max="11302" width="0" style="10" hidden="1" customWidth="1"/>
    <col min="11303" max="11303" width="3" style="10" customWidth="1"/>
    <col min="11304" max="11304" width="26.85546875" style="10" customWidth="1"/>
    <col min="11305" max="11305" width="29.85546875" style="10" customWidth="1"/>
    <col min="11306" max="11306" width="32.7109375" style="10" customWidth="1"/>
    <col min="11307" max="11307" width="34.85546875" style="10" customWidth="1"/>
    <col min="11308" max="11308" width="30.42578125" style="10" customWidth="1"/>
    <col min="11309" max="11309" width="13.85546875" style="10" customWidth="1"/>
    <col min="11310" max="11310" width="39.42578125" style="10" customWidth="1"/>
    <col min="11311" max="11311" width="23.5703125" style="10" customWidth="1"/>
    <col min="11312" max="11520" width="11.42578125" style="10"/>
    <col min="11521" max="11521" width="3.85546875" style="10" customWidth="1"/>
    <col min="11522" max="11522" width="8.5703125" style="10" customWidth="1"/>
    <col min="11523" max="11523" width="8.140625" style="10" customWidth="1"/>
    <col min="11524" max="11527" width="3.85546875" style="10" customWidth="1"/>
    <col min="11528" max="11528" width="12.42578125" style="10" customWidth="1"/>
    <col min="11529" max="11529" width="3.85546875" style="10" customWidth="1"/>
    <col min="11530" max="11530" width="45.7109375" style="10" customWidth="1"/>
    <col min="11531" max="11533" width="0" style="10" hidden="1" customWidth="1"/>
    <col min="11534" max="11534" width="35.42578125" style="10" customWidth="1"/>
    <col min="11535" max="11535" width="25.85546875" style="10" customWidth="1"/>
    <col min="11536" max="11536" width="28.85546875" style="10" customWidth="1"/>
    <col min="11537" max="11537" width="30.42578125" style="10" customWidth="1"/>
    <col min="11538" max="11538" width="23.5703125" style="10" customWidth="1"/>
    <col min="11539" max="11539" width="24.42578125" style="10" customWidth="1"/>
    <col min="11540" max="11540" width="23" style="10" customWidth="1"/>
    <col min="11541" max="11541" width="26.85546875" style="10" customWidth="1"/>
    <col min="11542" max="11542" width="29" style="10" customWidth="1"/>
    <col min="11543" max="11543" width="34.140625" style="10" customWidth="1"/>
    <col min="11544" max="11544" width="29" style="10" customWidth="1"/>
    <col min="11545" max="11545" width="25" style="10" customWidth="1"/>
    <col min="11546" max="11546" width="36.28515625" style="10" customWidth="1"/>
    <col min="11547" max="11547" width="36.140625" style="10" customWidth="1"/>
    <col min="11548" max="11548" width="31.5703125" style="10" customWidth="1"/>
    <col min="11549" max="11549" width="0" style="10" hidden="1" customWidth="1"/>
    <col min="11550" max="11550" width="35.28515625" style="10" customWidth="1"/>
    <col min="11551" max="11551" width="31" style="10" customWidth="1"/>
    <col min="11552" max="11552" width="34.7109375" style="10" customWidth="1"/>
    <col min="11553" max="11553" width="31.42578125" style="10" customWidth="1"/>
    <col min="11554" max="11554" width="22.5703125" style="10" customWidth="1"/>
    <col min="11555" max="11558" width="0" style="10" hidden="1" customWidth="1"/>
    <col min="11559" max="11559" width="3" style="10" customWidth="1"/>
    <col min="11560" max="11560" width="26.85546875" style="10" customWidth="1"/>
    <col min="11561" max="11561" width="29.85546875" style="10" customWidth="1"/>
    <col min="11562" max="11562" width="32.7109375" style="10" customWidth="1"/>
    <col min="11563" max="11563" width="34.85546875" style="10" customWidth="1"/>
    <col min="11564" max="11564" width="30.42578125" style="10" customWidth="1"/>
    <col min="11565" max="11565" width="13.85546875" style="10" customWidth="1"/>
    <col min="11566" max="11566" width="39.42578125" style="10" customWidth="1"/>
    <col min="11567" max="11567" width="23.5703125" style="10" customWidth="1"/>
    <col min="11568" max="11776" width="11.42578125" style="10"/>
    <col min="11777" max="11777" width="3.85546875" style="10" customWidth="1"/>
    <col min="11778" max="11778" width="8.5703125" style="10" customWidth="1"/>
    <col min="11779" max="11779" width="8.140625" style="10" customWidth="1"/>
    <col min="11780" max="11783" width="3.85546875" style="10" customWidth="1"/>
    <col min="11784" max="11784" width="12.42578125" style="10" customWidth="1"/>
    <col min="11785" max="11785" width="3.85546875" style="10" customWidth="1"/>
    <col min="11786" max="11786" width="45.7109375" style="10" customWidth="1"/>
    <col min="11787" max="11789" width="0" style="10" hidden="1" customWidth="1"/>
    <col min="11790" max="11790" width="35.42578125" style="10" customWidth="1"/>
    <col min="11791" max="11791" width="25.85546875" style="10" customWidth="1"/>
    <col min="11792" max="11792" width="28.85546875" style="10" customWidth="1"/>
    <col min="11793" max="11793" width="30.42578125" style="10" customWidth="1"/>
    <col min="11794" max="11794" width="23.5703125" style="10" customWidth="1"/>
    <col min="11795" max="11795" width="24.42578125" style="10" customWidth="1"/>
    <col min="11796" max="11796" width="23" style="10" customWidth="1"/>
    <col min="11797" max="11797" width="26.85546875" style="10" customWidth="1"/>
    <col min="11798" max="11798" width="29" style="10" customWidth="1"/>
    <col min="11799" max="11799" width="34.140625" style="10" customWidth="1"/>
    <col min="11800" max="11800" width="29" style="10" customWidth="1"/>
    <col min="11801" max="11801" width="25" style="10" customWidth="1"/>
    <col min="11802" max="11802" width="36.28515625" style="10" customWidth="1"/>
    <col min="11803" max="11803" width="36.140625" style="10" customWidth="1"/>
    <col min="11804" max="11804" width="31.5703125" style="10" customWidth="1"/>
    <col min="11805" max="11805" width="0" style="10" hidden="1" customWidth="1"/>
    <col min="11806" max="11806" width="35.28515625" style="10" customWidth="1"/>
    <col min="11807" max="11807" width="31" style="10" customWidth="1"/>
    <col min="11808" max="11808" width="34.7109375" style="10" customWidth="1"/>
    <col min="11809" max="11809" width="31.42578125" style="10" customWidth="1"/>
    <col min="11810" max="11810" width="22.5703125" style="10" customWidth="1"/>
    <col min="11811" max="11814" width="0" style="10" hidden="1" customWidth="1"/>
    <col min="11815" max="11815" width="3" style="10" customWidth="1"/>
    <col min="11816" max="11816" width="26.85546875" style="10" customWidth="1"/>
    <col min="11817" max="11817" width="29.85546875" style="10" customWidth="1"/>
    <col min="11818" max="11818" width="32.7109375" style="10" customWidth="1"/>
    <col min="11819" max="11819" width="34.85546875" style="10" customWidth="1"/>
    <col min="11820" max="11820" width="30.42578125" style="10" customWidth="1"/>
    <col min="11821" max="11821" width="13.85546875" style="10" customWidth="1"/>
    <col min="11822" max="11822" width="39.42578125" style="10" customWidth="1"/>
    <col min="11823" max="11823" width="23.5703125" style="10" customWidth="1"/>
    <col min="11824" max="12032" width="11.42578125" style="10"/>
    <col min="12033" max="12033" width="3.85546875" style="10" customWidth="1"/>
    <col min="12034" max="12034" width="8.5703125" style="10" customWidth="1"/>
    <col min="12035" max="12035" width="8.140625" style="10" customWidth="1"/>
    <col min="12036" max="12039" width="3.85546875" style="10" customWidth="1"/>
    <col min="12040" max="12040" width="12.42578125" style="10" customWidth="1"/>
    <col min="12041" max="12041" width="3.85546875" style="10" customWidth="1"/>
    <col min="12042" max="12042" width="45.7109375" style="10" customWidth="1"/>
    <col min="12043" max="12045" width="0" style="10" hidden="1" customWidth="1"/>
    <col min="12046" max="12046" width="35.42578125" style="10" customWidth="1"/>
    <col min="12047" max="12047" width="25.85546875" style="10" customWidth="1"/>
    <col min="12048" max="12048" width="28.85546875" style="10" customWidth="1"/>
    <col min="12049" max="12049" width="30.42578125" style="10" customWidth="1"/>
    <col min="12050" max="12050" width="23.5703125" style="10" customWidth="1"/>
    <col min="12051" max="12051" width="24.42578125" style="10" customWidth="1"/>
    <col min="12052" max="12052" width="23" style="10" customWidth="1"/>
    <col min="12053" max="12053" width="26.85546875" style="10" customWidth="1"/>
    <col min="12054" max="12054" width="29" style="10" customWidth="1"/>
    <col min="12055" max="12055" width="34.140625" style="10" customWidth="1"/>
    <col min="12056" max="12056" width="29" style="10" customWidth="1"/>
    <col min="12057" max="12057" width="25" style="10" customWidth="1"/>
    <col min="12058" max="12058" width="36.28515625" style="10" customWidth="1"/>
    <col min="12059" max="12059" width="36.140625" style="10" customWidth="1"/>
    <col min="12060" max="12060" width="31.5703125" style="10" customWidth="1"/>
    <col min="12061" max="12061" width="0" style="10" hidden="1" customWidth="1"/>
    <col min="12062" max="12062" width="35.28515625" style="10" customWidth="1"/>
    <col min="12063" max="12063" width="31" style="10" customWidth="1"/>
    <col min="12064" max="12064" width="34.7109375" style="10" customWidth="1"/>
    <col min="12065" max="12065" width="31.42578125" style="10" customWidth="1"/>
    <col min="12066" max="12066" width="22.5703125" style="10" customWidth="1"/>
    <col min="12067" max="12070" width="0" style="10" hidden="1" customWidth="1"/>
    <col min="12071" max="12071" width="3" style="10" customWidth="1"/>
    <col min="12072" max="12072" width="26.85546875" style="10" customWidth="1"/>
    <col min="12073" max="12073" width="29.85546875" style="10" customWidth="1"/>
    <col min="12074" max="12074" width="32.7109375" style="10" customWidth="1"/>
    <col min="12075" max="12075" width="34.85546875" style="10" customWidth="1"/>
    <col min="12076" max="12076" width="30.42578125" style="10" customWidth="1"/>
    <col min="12077" max="12077" width="13.85546875" style="10" customWidth="1"/>
    <col min="12078" max="12078" width="39.42578125" style="10" customWidth="1"/>
    <col min="12079" max="12079" width="23.5703125" style="10" customWidth="1"/>
    <col min="12080" max="12288" width="11.42578125" style="10"/>
    <col min="12289" max="12289" width="3.85546875" style="10" customWidth="1"/>
    <col min="12290" max="12290" width="8.5703125" style="10" customWidth="1"/>
    <col min="12291" max="12291" width="8.140625" style="10" customWidth="1"/>
    <col min="12292" max="12295" width="3.85546875" style="10" customWidth="1"/>
    <col min="12296" max="12296" width="12.42578125" style="10" customWidth="1"/>
    <col min="12297" max="12297" width="3.85546875" style="10" customWidth="1"/>
    <col min="12298" max="12298" width="45.7109375" style="10" customWidth="1"/>
    <col min="12299" max="12301" width="0" style="10" hidden="1" customWidth="1"/>
    <col min="12302" max="12302" width="35.42578125" style="10" customWidth="1"/>
    <col min="12303" max="12303" width="25.85546875" style="10" customWidth="1"/>
    <col min="12304" max="12304" width="28.85546875" style="10" customWidth="1"/>
    <col min="12305" max="12305" width="30.42578125" style="10" customWidth="1"/>
    <col min="12306" max="12306" width="23.5703125" style="10" customWidth="1"/>
    <col min="12307" max="12307" width="24.42578125" style="10" customWidth="1"/>
    <col min="12308" max="12308" width="23" style="10" customWidth="1"/>
    <col min="12309" max="12309" width="26.85546875" style="10" customWidth="1"/>
    <col min="12310" max="12310" width="29" style="10" customWidth="1"/>
    <col min="12311" max="12311" width="34.140625" style="10" customWidth="1"/>
    <col min="12312" max="12312" width="29" style="10" customWidth="1"/>
    <col min="12313" max="12313" width="25" style="10" customWidth="1"/>
    <col min="12314" max="12314" width="36.28515625" style="10" customWidth="1"/>
    <col min="12315" max="12315" width="36.140625" style="10" customWidth="1"/>
    <col min="12316" max="12316" width="31.5703125" style="10" customWidth="1"/>
    <col min="12317" max="12317" width="0" style="10" hidden="1" customWidth="1"/>
    <col min="12318" max="12318" width="35.28515625" style="10" customWidth="1"/>
    <col min="12319" max="12319" width="31" style="10" customWidth="1"/>
    <col min="12320" max="12320" width="34.7109375" style="10" customWidth="1"/>
    <col min="12321" max="12321" width="31.42578125" style="10" customWidth="1"/>
    <col min="12322" max="12322" width="22.5703125" style="10" customWidth="1"/>
    <col min="12323" max="12326" width="0" style="10" hidden="1" customWidth="1"/>
    <col min="12327" max="12327" width="3" style="10" customWidth="1"/>
    <col min="12328" max="12328" width="26.85546875" style="10" customWidth="1"/>
    <col min="12329" max="12329" width="29.85546875" style="10" customWidth="1"/>
    <col min="12330" max="12330" width="32.7109375" style="10" customWidth="1"/>
    <col min="12331" max="12331" width="34.85546875" style="10" customWidth="1"/>
    <col min="12332" max="12332" width="30.42578125" style="10" customWidth="1"/>
    <col min="12333" max="12333" width="13.85546875" style="10" customWidth="1"/>
    <col min="12334" max="12334" width="39.42578125" style="10" customWidth="1"/>
    <col min="12335" max="12335" width="23.5703125" style="10" customWidth="1"/>
    <col min="12336" max="12544" width="11.42578125" style="10"/>
    <col min="12545" max="12545" width="3.85546875" style="10" customWidth="1"/>
    <col min="12546" max="12546" width="8.5703125" style="10" customWidth="1"/>
    <col min="12547" max="12547" width="8.140625" style="10" customWidth="1"/>
    <col min="12548" max="12551" width="3.85546875" style="10" customWidth="1"/>
    <col min="12552" max="12552" width="12.42578125" style="10" customWidth="1"/>
    <col min="12553" max="12553" width="3.85546875" style="10" customWidth="1"/>
    <col min="12554" max="12554" width="45.7109375" style="10" customWidth="1"/>
    <col min="12555" max="12557" width="0" style="10" hidden="1" customWidth="1"/>
    <col min="12558" max="12558" width="35.42578125" style="10" customWidth="1"/>
    <col min="12559" max="12559" width="25.85546875" style="10" customWidth="1"/>
    <col min="12560" max="12560" width="28.85546875" style="10" customWidth="1"/>
    <col min="12561" max="12561" width="30.42578125" style="10" customWidth="1"/>
    <col min="12562" max="12562" width="23.5703125" style="10" customWidth="1"/>
    <col min="12563" max="12563" width="24.42578125" style="10" customWidth="1"/>
    <col min="12564" max="12564" width="23" style="10" customWidth="1"/>
    <col min="12565" max="12565" width="26.85546875" style="10" customWidth="1"/>
    <col min="12566" max="12566" width="29" style="10" customWidth="1"/>
    <col min="12567" max="12567" width="34.140625" style="10" customWidth="1"/>
    <col min="12568" max="12568" width="29" style="10" customWidth="1"/>
    <col min="12569" max="12569" width="25" style="10" customWidth="1"/>
    <col min="12570" max="12570" width="36.28515625" style="10" customWidth="1"/>
    <col min="12571" max="12571" width="36.140625" style="10" customWidth="1"/>
    <col min="12572" max="12572" width="31.5703125" style="10" customWidth="1"/>
    <col min="12573" max="12573" width="0" style="10" hidden="1" customWidth="1"/>
    <col min="12574" max="12574" width="35.28515625" style="10" customWidth="1"/>
    <col min="12575" max="12575" width="31" style="10" customWidth="1"/>
    <col min="12576" max="12576" width="34.7109375" style="10" customWidth="1"/>
    <col min="12577" max="12577" width="31.42578125" style="10" customWidth="1"/>
    <col min="12578" max="12578" width="22.5703125" style="10" customWidth="1"/>
    <col min="12579" max="12582" width="0" style="10" hidden="1" customWidth="1"/>
    <col min="12583" max="12583" width="3" style="10" customWidth="1"/>
    <col min="12584" max="12584" width="26.85546875" style="10" customWidth="1"/>
    <col min="12585" max="12585" width="29.85546875" style="10" customWidth="1"/>
    <col min="12586" max="12586" width="32.7109375" style="10" customWidth="1"/>
    <col min="12587" max="12587" width="34.85546875" style="10" customWidth="1"/>
    <col min="12588" max="12588" width="30.42578125" style="10" customWidth="1"/>
    <col min="12589" max="12589" width="13.85546875" style="10" customWidth="1"/>
    <col min="12590" max="12590" width="39.42578125" style="10" customWidth="1"/>
    <col min="12591" max="12591" width="23.5703125" style="10" customWidth="1"/>
    <col min="12592" max="12800" width="11.42578125" style="10"/>
    <col min="12801" max="12801" width="3.85546875" style="10" customWidth="1"/>
    <col min="12802" max="12802" width="8.5703125" style="10" customWidth="1"/>
    <col min="12803" max="12803" width="8.140625" style="10" customWidth="1"/>
    <col min="12804" max="12807" width="3.85546875" style="10" customWidth="1"/>
    <col min="12808" max="12808" width="12.42578125" style="10" customWidth="1"/>
    <col min="12809" max="12809" width="3.85546875" style="10" customWidth="1"/>
    <col min="12810" max="12810" width="45.7109375" style="10" customWidth="1"/>
    <col min="12811" max="12813" width="0" style="10" hidden="1" customWidth="1"/>
    <col min="12814" max="12814" width="35.42578125" style="10" customWidth="1"/>
    <col min="12815" max="12815" width="25.85546875" style="10" customWidth="1"/>
    <col min="12816" max="12816" width="28.85546875" style="10" customWidth="1"/>
    <col min="12817" max="12817" width="30.42578125" style="10" customWidth="1"/>
    <col min="12818" max="12818" width="23.5703125" style="10" customWidth="1"/>
    <col min="12819" max="12819" width="24.42578125" style="10" customWidth="1"/>
    <col min="12820" max="12820" width="23" style="10" customWidth="1"/>
    <col min="12821" max="12821" width="26.85546875" style="10" customWidth="1"/>
    <col min="12822" max="12822" width="29" style="10" customWidth="1"/>
    <col min="12823" max="12823" width="34.140625" style="10" customWidth="1"/>
    <col min="12824" max="12824" width="29" style="10" customWidth="1"/>
    <col min="12825" max="12825" width="25" style="10" customWidth="1"/>
    <col min="12826" max="12826" width="36.28515625" style="10" customWidth="1"/>
    <col min="12827" max="12827" width="36.140625" style="10" customWidth="1"/>
    <col min="12828" max="12828" width="31.5703125" style="10" customWidth="1"/>
    <col min="12829" max="12829" width="0" style="10" hidden="1" customWidth="1"/>
    <col min="12830" max="12830" width="35.28515625" style="10" customWidth="1"/>
    <col min="12831" max="12831" width="31" style="10" customWidth="1"/>
    <col min="12832" max="12832" width="34.7109375" style="10" customWidth="1"/>
    <col min="12833" max="12833" width="31.42578125" style="10" customWidth="1"/>
    <col min="12834" max="12834" width="22.5703125" style="10" customWidth="1"/>
    <col min="12835" max="12838" width="0" style="10" hidden="1" customWidth="1"/>
    <col min="12839" max="12839" width="3" style="10" customWidth="1"/>
    <col min="12840" max="12840" width="26.85546875" style="10" customWidth="1"/>
    <col min="12841" max="12841" width="29.85546875" style="10" customWidth="1"/>
    <col min="12842" max="12842" width="32.7109375" style="10" customWidth="1"/>
    <col min="12843" max="12843" width="34.85546875" style="10" customWidth="1"/>
    <col min="12844" max="12844" width="30.42578125" style="10" customWidth="1"/>
    <col min="12845" max="12845" width="13.85546875" style="10" customWidth="1"/>
    <col min="12846" max="12846" width="39.42578125" style="10" customWidth="1"/>
    <col min="12847" max="12847" width="23.5703125" style="10" customWidth="1"/>
    <col min="12848" max="13056" width="11.42578125" style="10"/>
    <col min="13057" max="13057" width="3.85546875" style="10" customWidth="1"/>
    <col min="13058" max="13058" width="8.5703125" style="10" customWidth="1"/>
    <col min="13059" max="13059" width="8.140625" style="10" customWidth="1"/>
    <col min="13060" max="13063" width="3.85546875" style="10" customWidth="1"/>
    <col min="13064" max="13064" width="12.42578125" style="10" customWidth="1"/>
    <col min="13065" max="13065" width="3.85546875" style="10" customWidth="1"/>
    <col min="13066" max="13066" width="45.7109375" style="10" customWidth="1"/>
    <col min="13067" max="13069" width="0" style="10" hidden="1" customWidth="1"/>
    <col min="13070" max="13070" width="35.42578125" style="10" customWidth="1"/>
    <col min="13071" max="13071" width="25.85546875" style="10" customWidth="1"/>
    <col min="13072" max="13072" width="28.85546875" style="10" customWidth="1"/>
    <col min="13073" max="13073" width="30.42578125" style="10" customWidth="1"/>
    <col min="13074" max="13074" width="23.5703125" style="10" customWidth="1"/>
    <col min="13075" max="13075" width="24.42578125" style="10" customWidth="1"/>
    <col min="13076" max="13076" width="23" style="10" customWidth="1"/>
    <col min="13077" max="13077" width="26.85546875" style="10" customWidth="1"/>
    <col min="13078" max="13078" width="29" style="10" customWidth="1"/>
    <col min="13079" max="13079" width="34.140625" style="10" customWidth="1"/>
    <col min="13080" max="13080" width="29" style="10" customWidth="1"/>
    <col min="13081" max="13081" width="25" style="10" customWidth="1"/>
    <col min="13082" max="13082" width="36.28515625" style="10" customWidth="1"/>
    <col min="13083" max="13083" width="36.140625" style="10" customWidth="1"/>
    <col min="13084" max="13084" width="31.5703125" style="10" customWidth="1"/>
    <col min="13085" max="13085" width="0" style="10" hidden="1" customWidth="1"/>
    <col min="13086" max="13086" width="35.28515625" style="10" customWidth="1"/>
    <col min="13087" max="13087" width="31" style="10" customWidth="1"/>
    <col min="13088" max="13088" width="34.7109375" style="10" customWidth="1"/>
    <col min="13089" max="13089" width="31.42578125" style="10" customWidth="1"/>
    <col min="13090" max="13090" width="22.5703125" style="10" customWidth="1"/>
    <col min="13091" max="13094" width="0" style="10" hidden="1" customWidth="1"/>
    <col min="13095" max="13095" width="3" style="10" customWidth="1"/>
    <col min="13096" max="13096" width="26.85546875" style="10" customWidth="1"/>
    <col min="13097" max="13097" width="29.85546875" style="10" customWidth="1"/>
    <col min="13098" max="13098" width="32.7109375" style="10" customWidth="1"/>
    <col min="13099" max="13099" width="34.85546875" style="10" customWidth="1"/>
    <col min="13100" max="13100" width="30.42578125" style="10" customWidth="1"/>
    <col min="13101" max="13101" width="13.85546875" style="10" customWidth="1"/>
    <col min="13102" max="13102" width="39.42578125" style="10" customWidth="1"/>
    <col min="13103" max="13103" width="23.5703125" style="10" customWidth="1"/>
    <col min="13104" max="13312" width="11.42578125" style="10"/>
    <col min="13313" max="13313" width="3.85546875" style="10" customWidth="1"/>
    <col min="13314" max="13314" width="8.5703125" style="10" customWidth="1"/>
    <col min="13315" max="13315" width="8.140625" style="10" customWidth="1"/>
    <col min="13316" max="13319" width="3.85546875" style="10" customWidth="1"/>
    <col min="13320" max="13320" width="12.42578125" style="10" customWidth="1"/>
    <col min="13321" max="13321" width="3.85546875" style="10" customWidth="1"/>
    <col min="13322" max="13322" width="45.7109375" style="10" customWidth="1"/>
    <col min="13323" max="13325" width="0" style="10" hidden="1" customWidth="1"/>
    <col min="13326" max="13326" width="35.42578125" style="10" customWidth="1"/>
    <col min="13327" max="13327" width="25.85546875" style="10" customWidth="1"/>
    <col min="13328" max="13328" width="28.85546875" style="10" customWidth="1"/>
    <col min="13329" max="13329" width="30.42578125" style="10" customWidth="1"/>
    <col min="13330" max="13330" width="23.5703125" style="10" customWidth="1"/>
    <col min="13331" max="13331" width="24.42578125" style="10" customWidth="1"/>
    <col min="13332" max="13332" width="23" style="10" customWidth="1"/>
    <col min="13333" max="13333" width="26.85546875" style="10" customWidth="1"/>
    <col min="13334" max="13334" width="29" style="10" customWidth="1"/>
    <col min="13335" max="13335" width="34.140625" style="10" customWidth="1"/>
    <col min="13336" max="13336" width="29" style="10" customWidth="1"/>
    <col min="13337" max="13337" width="25" style="10" customWidth="1"/>
    <col min="13338" max="13338" width="36.28515625" style="10" customWidth="1"/>
    <col min="13339" max="13339" width="36.140625" style="10" customWidth="1"/>
    <col min="13340" max="13340" width="31.5703125" style="10" customWidth="1"/>
    <col min="13341" max="13341" width="0" style="10" hidden="1" customWidth="1"/>
    <col min="13342" max="13342" width="35.28515625" style="10" customWidth="1"/>
    <col min="13343" max="13343" width="31" style="10" customWidth="1"/>
    <col min="13344" max="13344" width="34.7109375" style="10" customWidth="1"/>
    <col min="13345" max="13345" width="31.42578125" style="10" customWidth="1"/>
    <col min="13346" max="13346" width="22.5703125" style="10" customWidth="1"/>
    <col min="13347" max="13350" width="0" style="10" hidden="1" customWidth="1"/>
    <col min="13351" max="13351" width="3" style="10" customWidth="1"/>
    <col min="13352" max="13352" width="26.85546875" style="10" customWidth="1"/>
    <col min="13353" max="13353" width="29.85546875" style="10" customWidth="1"/>
    <col min="13354" max="13354" width="32.7109375" style="10" customWidth="1"/>
    <col min="13355" max="13355" width="34.85546875" style="10" customWidth="1"/>
    <col min="13356" max="13356" width="30.42578125" style="10" customWidth="1"/>
    <col min="13357" max="13357" width="13.85546875" style="10" customWidth="1"/>
    <col min="13358" max="13358" width="39.42578125" style="10" customWidth="1"/>
    <col min="13359" max="13359" width="23.5703125" style="10" customWidth="1"/>
    <col min="13360" max="13568" width="11.42578125" style="10"/>
    <col min="13569" max="13569" width="3.85546875" style="10" customWidth="1"/>
    <col min="13570" max="13570" width="8.5703125" style="10" customWidth="1"/>
    <col min="13571" max="13571" width="8.140625" style="10" customWidth="1"/>
    <col min="13572" max="13575" width="3.85546875" style="10" customWidth="1"/>
    <col min="13576" max="13576" width="12.42578125" style="10" customWidth="1"/>
    <col min="13577" max="13577" width="3.85546875" style="10" customWidth="1"/>
    <col min="13578" max="13578" width="45.7109375" style="10" customWidth="1"/>
    <col min="13579" max="13581" width="0" style="10" hidden="1" customWidth="1"/>
    <col min="13582" max="13582" width="35.42578125" style="10" customWidth="1"/>
    <col min="13583" max="13583" width="25.85546875" style="10" customWidth="1"/>
    <col min="13584" max="13584" width="28.85546875" style="10" customWidth="1"/>
    <col min="13585" max="13585" width="30.42578125" style="10" customWidth="1"/>
    <col min="13586" max="13586" width="23.5703125" style="10" customWidth="1"/>
    <col min="13587" max="13587" width="24.42578125" style="10" customWidth="1"/>
    <col min="13588" max="13588" width="23" style="10" customWidth="1"/>
    <col min="13589" max="13589" width="26.85546875" style="10" customWidth="1"/>
    <col min="13590" max="13590" width="29" style="10" customWidth="1"/>
    <col min="13591" max="13591" width="34.140625" style="10" customWidth="1"/>
    <col min="13592" max="13592" width="29" style="10" customWidth="1"/>
    <col min="13593" max="13593" width="25" style="10" customWidth="1"/>
    <col min="13594" max="13594" width="36.28515625" style="10" customWidth="1"/>
    <col min="13595" max="13595" width="36.140625" style="10" customWidth="1"/>
    <col min="13596" max="13596" width="31.5703125" style="10" customWidth="1"/>
    <col min="13597" max="13597" width="0" style="10" hidden="1" customWidth="1"/>
    <col min="13598" max="13598" width="35.28515625" style="10" customWidth="1"/>
    <col min="13599" max="13599" width="31" style="10" customWidth="1"/>
    <col min="13600" max="13600" width="34.7109375" style="10" customWidth="1"/>
    <col min="13601" max="13601" width="31.42578125" style="10" customWidth="1"/>
    <col min="13602" max="13602" width="22.5703125" style="10" customWidth="1"/>
    <col min="13603" max="13606" width="0" style="10" hidden="1" customWidth="1"/>
    <col min="13607" max="13607" width="3" style="10" customWidth="1"/>
    <col min="13608" max="13608" width="26.85546875" style="10" customWidth="1"/>
    <col min="13609" max="13609" width="29.85546875" style="10" customWidth="1"/>
    <col min="13610" max="13610" width="32.7109375" style="10" customWidth="1"/>
    <col min="13611" max="13611" width="34.85546875" style="10" customWidth="1"/>
    <col min="13612" max="13612" width="30.42578125" style="10" customWidth="1"/>
    <col min="13613" max="13613" width="13.85546875" style="10" customWidth="1"/>
    <col min="13614" max="13614" width="39.42578125" style="10" customWidth="1"/>
    <col min="13615" max="13615" width="23.5703125" style="10" customWidth="1"/>
    <col min="13616" max="13824" width="11.42578125" style="10"/>
    <col min="13825" max="13825" width="3.85546875" style="10" customWidth="1"/>
    <col min="13826" max="13826" width="8.5703125" style="10" customWidth="1"/>
    <col min="13827" max="13827" width="8.140625" style="10" customWidth="1"/>
    <col min="13828" max="13831" width="3.85546875" style="10" customWidth="1"/>
    <col min="13832" max="13832" width="12.42578125" style="10" customWidth="1"/>
    <col min="13833" max="13833" width="3.85546875" style="10" customWidth="1"/>
    <col min="13834" max="13834" width="45.7109375" style="10" customWidth="1"/>
    <col min="13835" max="13837" width="0" style="10" hidden="1" customWidth="1"/>
    <col min="13838" max="13838" width="35.42578125" style="10" customWidth="1"/>
    <col min="13839" max="13839" width="25.85546875" style="10" customWidth="1"/>
    <col min="13840" max="13840" width="28.85546875" style="10" customWidth="1"/>
    <col min="13841" max="13841" width="30.42578125" style="10" customWidth="1"/>
    <col min="13842" max="13842" width="23.5703125" style="10" customWidth="1"/>
    <col min="13843" max="13843" width="24.42578125" style="10" customWidth="1"/>
    <col min="13844" max="13844" width="23" style="10" customWidth="1"/>
    <col min="13845" max="13845" width="26.85546875" style="10" customWidth="1"/>
    <col min="13846" max="13846" width="29" style="10" customWidth="1"/>
    <col min="13847" max="13847" width="34.140625" style="10" customWidth="1"/>
    <col min="13848" max="13848" width="29" style="10" customWidth="1"/>
    <col min="13849" max="13849" width="25" style="10" customWidth="1"/>
    <col min="13850" max="13850" width="36.28515625" style="10" customWidth="1"/>
    <col min="13851" max="13851" width="36.140625" style="10" customWidth="1"/>
    <col min="13852" max="13852" width="31.5703125" style="10" customWidth="1"/>
    <col min="13853" max="13853" width="0" style="10" hidden="1" customWidth="1"/>
    <col min="13854" max="13854" width="35.28515625" style="10" customWidth="1"/>
    <col min="13855" max="13855" width="31" style="10" customWidth="1"/>
    <col min="13856" max="13856" width="34.7109375" style="10" customWidth="1"/>
    <col min="13857" max="13857" width="31.42578125" style="10" customWidth="1"/>
    <col min="13858" max="13858" width="22.5703125" style="10" customWidth="1"/>
    <col min="13859" max="13862" width="0" style="10" hidden="1" customWidth="1"/>
    <col min="13863" max="13863" width="3" style="10" customWidth="1"/>
    <col min="13864" max="13864" width="26.85546875" style="10" customWidth="1"/>
    <col min="13865" max="13865" width="29.85546875" style="10" customWidth="1"/>
    <col min="13866" max="13866" width="32.7109375" style="10" customWidth="1"/>
    <col min="13867" max="13867" width="34.85546875" style="10" customWidth="1"/>
    <col min="13868" max="13868" width="30.42578125" style="10" customWidth="1"/>
    <col min="13869" max="13869" width="13.85546875" style="10" customWidth="1"/>
    <col min="13870" max="13870" width="39.42578125" style="10" customWidth="1"/>
    <col min="13871" max="13871" width="23.5703125" style="10" customWidth="1"/>
    <col min="13872" max="14080" width="11.42578125" style="10"/>
    <col min="14081" max="14081" width="3.85546875" style="10" customWidth="1"/>
    <col min="14082" max="14082" width="8.5703125" style="10" customWidth="1"/>
    <col min="14083" max="14083" width="8.140625" style="10" customWidth="1"/>
    <col min="14084" max="14087" width="3.85546875" style="10" customWidth="1"/>
    <col min="14088" max="14088" width="12.42578125" style="10" customWidth="1"/>
    <col min="14089" max="14089" width="3.85546875" style="10" customWidth="1"/>
    <col min="14090" max="14090" width="45.7109375" style="10" customWidth="1"/>
    <col min="14091" max="14093" width="0" style="10" hidden="1" customWidth="1"/>
    <col min="14094" max="14094" width="35.42578125" style="10" customWidth="1"/>
    <col min="14095" max="14095" width="25.85546875" style="10" customWidth="1"/>
    <col min="14096" max="14096" width="28.85546875" style="10" customWidth="1"/>
    <col min="14097" max="14097" width="30.42578125" style="10" customWidth="1"/>
    <col min="14098" max="14098" width="23.5703125" style="10" customWidth="1"/>
    <col min="14099" max="14099" width="24.42578125" style="10" customWidth="1"/>
    <col min="14100" max="14100" width="23" style="10" customWidth="1"/>
    <col min="14101" max="14101" width="26.85546875" style="10" customWidth="1"/>
    <col min="14102" max="14102" width="29" style="10" customWidth="1"/>
    <col min="14103" max="14103" width="34.140625" style="10" customWidth="1"/>
    <col min="14104" max="14104" width="29" style="10" customWidth="1"/>
    <col min="14105" max="14105" width="25" style="10" customWidth="1"/>
    <col min="14106" max="14106" width="36.28515625" style="10" customWidth="1"/>
    <col min="14107" max="14107" width="36.140625" style="10" customWidth="1"/>
    <col min="14108" max="14108" width="31.5703125" style="10" customWidth="1"/>
    <col min="14109" max="14109" width="0" style="10" hidden="1" customWidth="1"/>
    <col min="14110" max="14110" width="35.28515625" style="10" customWidth="1"/>
    <col min="14111" max="14111" width="31" style="10" customWidth="1"/>
    <col min="14112" max="14112" width="34.7109375" style="10" customWidth="1"/>
    <col min="14113" max="14113" width="31.42578125" style="10" customWidth="1"/>
    <col min="14114" max="14114" width="22.5703125" style="10" customWidth="1"/>
    <col min="14115" max="14118" width="0" style="10" hidden="1" customWidth="1"/>
    <col min="14119" max="14119" width="3" style="10" customWidth="1"/>
    <col min="14120" max="14120" width="26.85546875" style="10" customWidth="1"/>
    <col min="14121" max="14121" width="29.85546875" style="10" customWidth="1"/>
    <col min="14122" max="14122" width="32.7109375" style="10" customWidth="1"/>
    <col min="14123" max="14123" width="34.85546875" style="10" customWidth="1"/>
    <col min="14124" max="14124" width="30.42578125" style="10" customWidth="1"/>
    <col min="14125" max="14125" width="13.85546875" style="10" customWidth="1"/>
    <col min="14126" max="14126" width="39.42578125" style="10" customWidth="1"/>
    <col min="14127" max="14127" width="23.5703125" style="10" customWidth="1"/>
    <col min="14128" max="14336" width="11.42578125" style="10"/>
    <col min="14337" max="14337" width="3.85546875" style="10" customWidth="1"/>
    <col min="14338" max="14338" width="8.5703125" style="10" customWidth="1"/>
    <col min="14339" max="14339" width="8.140625" style="10" customWidth="1"/>
    <col min="14340" max="14343" width="3.85546875" style="10" customWidth="1"/>
    <col min="14344" max="14344" width="12.42578125" style="10" customWidth="1"/>
    <col min="14345" max="14345" width="3.85546875" style="10" customWidth="1"/>
    <col min="14346" max="14346" width="45.7109375" style="10" customWidth="1"/>
    <col min="14347" max="14349" width="0" style="10" hidden="1" customWidth="1"/>
    <col min="14350" max="14350" width="35.42578125" style="10" customWidth="1"/>
    <col min="14351" max="14351" width="25.85546875" style="10" customWidth="1"/>
    <col min="14352" max="14352" width="28.85546875" style="10" customWidth="1"/>
    <col min="14353" max="14353" width="30.42578125" style="10" customWidth="1"/>
    <col min="14354" max="14354" width="23.5703125" style="10" customWidth="1"/>
    <col min="14355" max="14355" width="24.42578125" style="10" customWidth="1"/>
    <col min="14356" max="14356" width="23" style="10" customWidth="1"/>
    <col min="14357" max="14357" width="26.85546875" style="10" customWidth="1"/>
    <col min="14358" max="14358" width="29" style="10" customWidth="1"/>
    <col min="14359" max="14359" width="34.140625" style="10" customWidth="1"/>
    <col min="14360" max="14360" width="29" style="10" customWidth="1"/>
    <col min="14361" max="14361" width="25" style="10" customWidth="1"/>
    <col min="14362" max="14362" width="36.28515625" style="10" customWidth="1"/>
    <col min="14363" max="14363" width="36.140625" style="10" customWidth="1"/>
    <col min="14364" max="14364" width="31.5703125" style="10" customWidth="1"/>
    <col min="14365" max="14365" width="0" style="10" hidden="1" customWidth="1"/>
    <col min="14366" max="14366" width="35.28515625" style="10" customWidth="1"/>
    <col min="14367" max="14367" width="31" style="10" customWidth="1"/>
    <col min="14368" max="14368" width="34.7109375" style="10" customWidth="1"/>
    <col min="14369" max="14369" width="31.42578125" style="10" customWidth="1"/>
    <col min="14370" max="14370" width="22.5703125" style="10" customWidth="1"/>
    <col min="14371" max="14374" width="0" style="10" hidden="1" customWidth="1"/>
    <col min="14375" max="14375" width="3" style="10" customWidth="1"/>
    <col min="14376" max="14376" width="26.85546875" style="10" customWidth="1"/>
    <col min="14377" max="14377" width="29.85546875" style="10" customWidth="1"/>
    <col min="14378" max="14378" width="32.7109375" style="10" customWidth="1"/>
    <col min="14379" max="14379" width="34.85546875" style="10" customWidth="1"/>
    <col min="14380" max="14380" width="30.42578125" style="10" customWidth="1"/>
    <col min="14381" max="14381" width="13.85546875" style="10" customWidth="1"/>
    <col min="14382" max="14382" width="39.42578125" style="10" customWidth="1"/>
    <col min="14383" max="14383" width="23.5703125" style="10" customWidth="1"/>
    <col min="14384" max="14592" width="11.42578125" style="10"/>
    <col min="14593" max="14593" width="3.85546875" style="10" customWidth="1"/>
    <col min="14594" max="14594" width="8.5703125" style="10" customWidth="1"/>
    <col min="14595" max="14595" width="8.140625" style="10" customWidth="1"/>
    <col min="14596" max="14599" width="3.85546875" style="10" customWidth="1"/>
    <col min="14600" max="14600" width="12.42578125" style="10" customWidth="1"/>
    <col min="14601" max="14601" width="3.85546875" style="10" customWidth="1"/>
    <col min="14602" max="14602" width="45.7109375" style="10" customWidth="1"/>
    <col min="14603" max="14605" width="0" style="10" hidden="1" customWidth="1"/>
    <col min="14606" max="14606" width="35.42578125" style="10" customWidth="1"/>
    <col min="14607" max="14607" width="25.85546875" style="10" customWidth="1"/>
    <col min="14608" max="14608" width="28.85546875" style="10" customWidth="1"/>
    <col min="14609" max="14609" width="30.42578125" style="10" customWidth="1"/>
    <col min="14610" max="14610" width="23.5703125" style="10" customWidth="1"/>
    <col min="14611" max="14611" width="24.42578125" style="10" customWidth="1"/>
    <col min="14612" max="14612" width="23" style="10" customWidth="1"/>
    <col min="14613" max="14613" width="26.85546875" style="10" customWidth="1"/>
    <col min="14614" max="14614" width="29" style="10" customWidth="1"/>
    <col min="14615" max="14615" width="34.140625" style="10" customWidth="1"/>
    <col min="14616" max="14616" width="29" style="10" customWidth="1"/>
    <col min="14617" max="14617" width="25" style="10" customWidth="1"/>
    <col min="14618" max="14618" width="36.28515625" style="10" customWidth="1"/>
    <col min="14619" max="14619" width="36.140625" style="10" customWidth="1"/>
    <col min="14620" max="14620" width="31.5703125" style="10" customWidth="1"/>
    <col min="14621" max="14621" width="0" style="10" hidden="1" customWidth="1"/>
    <col min="14622" max="14622" width="35.28515625" style="10" customWidth="1"/>
    <col min="14623" max="14623" width="31" style="10" customWidth="1"/>
    <col min="14624" max="14624" width="34.7109375" style="10" customWidth="1"/>
    <col min="14625" max="14625" width="31.42578125" style="10" customWidth="1"/>
    <col min="14626" max="14626" width="22.5703125" style="10" customWidth="1"/>
    <col min="14627" max="14630" width="0" style="10" hidden="1" customWidth="1"/>
    <col min="14631" max="14631" width="3" style="10" customWidth="1"/>
    <col min="14632" max="14632" width="26.85546875" style="10" customWidth="1"/>
    <col min="14633" max="14633" width="29.85546875" style="10" customWidth="1"/>
    <col min="14634" max="14634" width="32.7109375" style="10" customWidth="1"/>
    <col min="14635" max="14635" width="34.85546875" style="10" customWidth="1"/>
    <col min="14636" max="14636" width="30.42578125" style="10" customWidth="1"/>
    <col min="14637" max="14637" width="13.85546875" style="10" customWidth="1"/>
    <col min="14638" max="14638" width="39.42578125" style="10" customWidth="1"/>
    <col min="14639" max="14639" width="23.5703125" style="10" customWidth="1"/>
    <col min="14640" max="14848" width="11.42578125" style="10"/>
    <col min="14849" max="14849" width="3.85546875" style="10" customWidth="1"/>
    <col min="14850" max="14850" width="8.5703125" style="10" customWidth="1"/>
    <col min="14851" max="14851" width="8.140625" style="10" customWidth="1"/>
    <col min="14852" max="14855" width="3.85546875" style="10" customWidth="1"/>
    <col min="14856" max="14856" width="12.42578125" style="10" customWidth="1"/>
    <col min="14857" max="14857" width="3.85546875" style="10" customWidth="1"/>
    <col min="14858" max="14858" width="45.7109375" style="10" customWidth="1"/>
    <col min="14859" max="14861" width="0" style="10" hidden="1" customWidth="1"/>
    <col min="14862" max="14862" width="35.42578125" style="10" customWidth="1"/>
    <col min="14863" max="14863" width="25.85546875" style="10" customWidth="1"/>
    <col min="14864" max="14864" width="28.85546875" style="10" customWidth="1"/>
    <col min="14865" max="14865" width="30.42578125" style="10" customWidth="1"/>
    <col min="14866" max="14866" width="23.5703125" style="10" customWidth="1"/>
    <col min="14867" max="14867" width="24.42578125" style="10" customWidth="1"/>
    <col min="14868" max="14868" width="23" style="10" customWidth="1"/>
    <col min="14869" max="14869" width="26.85546875" style="10" customWidth="1"/>
    <col min="14870" max="14870" width="29" style="10" customWidth="1"/>
    <col min="14871" max="14871" width="34.140625" style="10" customWidth="1"/>
    <col min="14872" max="14872" width="29" style="10" customWidth="1"/>
    <col min="14873" max="14873" width="25" style="10" customWidth="1"/>
    <col min="14874" max="14874" width="36.28515625" style="10" customWidth="1"/>
    <col min="14875" max="14875" width="36.140625" style="10" customWidth="1"/>
    <col min="14876" max="14876" width="31.5703125" style="10" customWidth="1"/>
    <col min="14877" max="14877" width="0" style="10" hidden="1" customWidth="1"/>
    <col min="14878" max="14878" width="35.28515625" style="10" customWidth="1"/>
    <col min="14879" max="14879" width="31" style="10" customWidth="1"/>
    <col min="14880" max="14880" width="34.7109375" style="10" customWidth="1"/>
    <col min="14881" max="14881" width="31.42578125" style="10" customWidth="1"/>
    <col min="14882" max="14882" width="22.5703125" style="10" customWidth="1"/>
    <col min="14883" max="14886" width="0" style="10" hidden="1" customWidth="1"/>
    <col min="14887" max="14887" width="3" style="10" customWidth="1"/>
    <col min="14888" max="14888" width="26.85546875" style="10" customWidth="1"/>
    <col min="14889" max="14889" width="29.85546875" style="10" customWidth="1"/>
    <col min="14890" max="14890" width="32.7109375" style="10" customWidth="1"/>
    <col min="14891" max="14891" width="34.85546875" style="10" customWidth="1"/>
    <col min="14892" max="14892" width="30.42578125" style="10" customWidth="1"/>
    <col min="14893" max="14893" width="13.85546875" style="10" customWidth="1"/>
    <col min="14894" max="14894" width="39.42578125" style="10" customWidth="1"/>
    <col min="14895" max="14895" width="23.5703125" style="10" customWidth="1"/>
    <col min="14896" max="15104" width="11.42578125" style="10"/>
    <col min="15105" max="15105" width="3.85546875" style="10" customWidth="1"/>
    <col min="15106" max="15106" width="8.5703125" style="10" customWidth="1"/>
    <col min="15107" max="15107" width="8.140625" style="10" customWidth="1"/>
    <col min="15108" max="15111" width="3.85546875" style="10" customWidth="1"/>
    <col min="15112" max="15112" width="12.42578125" style="10" customWidth="1"/>
    <col min="15113" max="15113" width="3.85546875" style="10" customWidth="1"/>
    <col min="15114" max="15114" width="45.7109375" style="10" customWidth="1"/>
    <col min="15115" max="15117" width="0" style="10" hidden="1" customWidth="1"/>
    <col min="15118" max="15118" width="35.42578125" style="10" customWidth="1"/>
    <col min="15119" max="15119" width="25.85546875" style="10" customWidth="1"/>
    <col min="15120" max="15120" width="28.85546875" style="10" customWidth="1"/>
    <col min="15121" max="15121" width="30.42578125" style="10" customWidth="1"/>
    <col min="15122" max="15122" width="23.5703125" style="10" customWidth="1"/>
    <col min="15123" max="15123" width="24.42578125" style="10" customWidth="1"/>
    <col min="15124" max="15124" width="23" style="10" customWidth="1"/>
    <col min="15125" max="15125" width="26.85546875" style="10" customWidth="1"/>
    <col min="15126" max="15126" width="29" style="10" customWidth="1"/>
    <col min="15127" max="15127" width="34.140625" style="10" customWidth="1"/>
    <col min="15128" max="15128" width="29" style="10" customWidth="1"/>
    <col min="15129" max="15129" width="25" style="10" customWidth="1"/>
    <col min="15130" max="15130" width="36.28515625" style="10" customWidth="1"/>
    <col min="15131" max="15131" width="36.140625" style="10" customWidth="1"/>
    <col min="15132" max="15132" width="31.5703125" style="10" customWidth="1"/>
    <col min="15133" max="15133" width="0" style="10" hidden="1" customWidth="1"/>
    <col min="15134" max="15134" width="35.28515625" style="10" customWidth="1"/>
    <col min="15135" max="15135" width="31" style="10" customWidth="1"/>
    <col min="15136" max="15136" width="34.7109375" style="10" customWidth="1"/>
    <col min="15137" max="15137" width="31.42578125" style="10" customWidth="1"/>
    <col min="15138" max="15138" width="22.5703125" style="10" customWidth="1"/>
    <col min="15139" max="15142" width="0" style="10" hidden="1" customWidth="1"/>
    <col min="15143" max="15143" width="3" style="10" customWidth="1"/>
    <col min="15144" max="15144" width="26.85546875" style="10" customWidth="1"/>
    <col min="15145" max="15145" width="29.85546875" style="10" customWidth="1"/>
    <col min="15146" max="15146" width="32.7109375" style="10" customWidth="1"/>
    <col min="15147" max="15147" width="34.85546875" style="10" customWidth="1"/>
    <col min="15148" max="15148" width="30.42578125" style="10" customWidth="1"/>
    <col min="15149" max="15149" width="13.85546875" style="10" customWidth="1"/>
    <col min="15150" max="15150" width="39.42578125" style="10" customWidth="1"/>
    <col min="15151" max="15151" width="23.5703125" style="10" customWidth="1"/>
    <col min="15152" max="15360" width="11.42578125" style="10"/>
    <col min="15361" max="15361" width="3.85546875" style="10" customWidth="1"/>
    <col min="15362" max="15362" width="8.5703125" style="10" customWidth="1"/>
    <col min="15363" max="15363" width="8.140625" style="10" customWidth="1"/>
    <col min="15364" max="15367" width="3.85546875" style="10" customWidth="1"/>
    <col min="15368" max="15368" width="12.42578125" style="10" customWidth="1"/>
    <col min="15369" max="15369" width="3.85546875" style="10" customWidth="1"/>
    <col min="15370" max="15370" width="45.7109375" style="10" customWidth="1"/>
    <col min="15371" max="15373" width="0" style="10" hidden="1" customWidth="1"/>
    <col min="15374" max="15374" width="35.42578125" style="10" customWidth="1"/>
    <col min="15375" max="15375" width="25.85546875" style="10" customWidth="1"/>
    <col min="15376" max="15376" width="28.85546875" style="10" customWidth="1"/>
    <col min="15377" max="15377" width="30.42578125" style="10" customWidth="1"/>
    <col min="15378" max="15378" width="23.5703125" style="10" customWidth="1"/>
    <col min="15379" max="15379" width="24.42578125" style="10" customWidth="1"/>
    <col min="15380" max="15380" width="23" style="10" customWidth="1"/>
    <col min="15381" max="15381" width="26.85546875" style="10" customWidth="1"/>
    <col min="15382" max="15382" width="29" style="10" customWidth="1"/>
    <col min="15383" max="15383" width="34.140625" style="10" customWidth="1"/>
    <col min="15384" max="15384" width="29" style="10" customWidth="1"/>
    <col min="15385" max="15385" width="25" style="10" customWidth="1"/>
    <col min="15386" max="15386" width="36.28515625" style="10" customWidth="1"/>
    <col min="15387" max="15387" width="36.140625" style="10" customWidth="1"/>
    <col min="15388" max="15388" width="31.5703125" style="10" customWidth="1"/>
    <col min="15389" max="15389" width="0" style="10" hidden="1" customWidth="1"/>
    <col min="15390" max="15390" width="35.28515625" style="10" customWidth="1"/>
    <col min="15391" max="15391" width="31" style="10" customWidth="1"/>
    <col min="15392" max="15392" width="34.7109375" style="10" customWidth="1"/>
    <col min="15393" max="15393" width="31.42578125" style="10" customWidth="1"/>
    <col min="15394" max="15394" width="22.5703125" style="10" customWidth="1"/>
    <col min="15395" max="15398" width="0" style="10" hidden="1" customWidth="1"/>
    <col min="15399" max="15399" width="3" style="10" customWidth="1"/>
    <col min="15400" max="15400" width="26.85546875" style="10" customWidth="1"/>
    <col min="15401" max="15401" width="29.85546875" style="10" customWidth="1"/>
    <col min="15402" max="15402" width="32.7109375" style="10" customWidth="1"/>
    <col min="15403" max="15403" width="34.85546875" style="10" customWidth="1"/>
    <col min="15404" max="15404" width="30.42578125" style="10" customWidth="1"/>
    <col min="15405" max="15405" width="13.85546875" style="10" customWidth="1"/>
    <col min="15406" max="15406" width="39.42578125" style="10" customWidth="1"/>
    <col min="15407" max="15407" width="23.5703125" style="10" customWidth="1"/>
    <col min="15408" max="15616" width="11.42578125" style="10"/>
    <col min="15617" max="15617" width="3.85546875" style="10" customWidth="1"/>
    <col min="15618" max="15618" width="8.5703125" style="10" customWidth="1"/>
    <col min="15619" max="15619" width="8.140625" style="10" customWidth="1"/>
    <col min="15620" max="15623" width="3.85546875" style="10" customWidth="1"/>
    <col min="15624" max="15624" width="12.42578125" style="10" customWidth="1"/>
    <col min="15625" max="15625" width="3.85546875" style="10" customWidth="1"/>
    <col min="15626" max="15626" width="45.7109375" style="10" customWidth="1"/>
    <col min="15627" max="15629" width="0" style="10" hidden="1" customWidth="1"/>
    <col min="15630" max="15630" width="35.42578125" style="10" customWidth="1"/>
    <col min="15631" max="15631" width="25.85546875" style="10" customWidth="1"/>
    <col min="15632" max="15632" width="28.85546875" style="10" customWidth="1"/>
    <col min="15633" max="15633" width="30.42578125" style="10" customWidth="1"/>
    <col min="15634" max="15634" width="23.5703125" style="10" customWidth="1"/>
    <col min="15635" max="15635" width="24.42578125" style="10" customWidth="1"/>
    <col min="15636" max="15636" width="23" style="10" customWidth="1"/>
    <col min="15637" max="15637" width="26.85546875" style="10" customWidth="1"/>
    <col min="15638" max="15638" width="29" style="10" customWidth="1"/>
    <col min="15639" max="15639" width="34.140625" style="10" customWidth="1"/>
    <col min="15640" max="15640" width="29" style="10" customWidth="1"/>
    <col min="15641" max="15641" width="25" style="10" customWidth="1"/>
    <col min="15642" max="15642" width="36.28515625" style="10" customWidth="1"/>
    <col min="15643" max="15643" width="36.140625" style="10" customWidth="1"/>
    <col min="15644" max="15644" width="31.5703125" style="10" customWidth="1"/>
    <col min="15645" max="15645" width="0" style="10" hidden="1" customWidth="1"/>
    <col min="15646" max="15646" width="35.28515625" style="10" customWidth="1"/>
    <col min="15647" max="15647" width="31" style="10" customWidth="1"/>
    <col min="15648" max="15648" width="34.7109375" style="10" customWidth="1"/>
    <col min="15649" max="15649" width="31.42578125" style="10" customWidth="1"/>
    <col min="15650" max="15650" width="22.5703125" style="10" customWidth="1"/>
    <col min="15651" max="15654" width="0" style="10" hidden="1" customWidth="1"/>
    <col min="15655" max="15655" width="3" style="10" customWidth="1"/>
    <col min="15656" max="15656" width="26.85546875" style="10" customWidth="1"/>
    <col min="15657" max="15657" width="29.85546875" style="10" customWidth="1"/>
    <col min="15658" max="15658" width="32.7109375" style="10" customWidth="1"/>
    <col min="15659" max="15659" width="34.85546875" style="10" customWidth="1"/>
    <col min="15660" max="15660" width="30.42578125" style="10" customWidth="1"/>
    <col min="15661" max="15661" width="13.85546875" style="10" customWidth="1"/>
    <col min="15662" max="15662" width="39.42578125" style="10" customWidth="1"/>
    <col min="15663" max="15663" width="23.5703125" style="10" customWidth="1"/>
    <col min="15664" max="15872" width="11.42578125" style="10"/>
    <col min="15873" max="15873" width="3.85546875" style="10" customWidth="1"/>
    <col min="15874" max="15874" width="8.5703125" style="10" customWidth="1"/>
    <col min="15875" max="15875" width="8.140625" style="10" customWidth="1"/>
    <col min="15876" max="15879" width="3.85546875" style="10" customWidth="1"/>
    <col min="15880" max="15880" width="12.42578125" style="10" customWidth="1"/>
    <col min="15881" max="15881" width="3.85546875" style="10" customWidth="1"/>
    <col min="15882" max="15882" width="45.7109375" style="10" customWidth="1"/>
    <col min="15883" max="15885" width="0" style="10" hidden="1" customWidth="1"/>
    <col min="15886" max="15886" width="35.42578125" style="10" customWidth="1"/>
    <col min="15887" max="15887" width="25.85546875" style="10" customWidth="1"/>
    <col min="15888" max="15888" width="28.85546875" style="10" customWidth="1"/>
    <col min="15889" max="15889" width="30.42578125" style="10" customWidth="1"/>
    <col min="15890" max="15890" width="23.5703125" style="10" customWidth="1"/>
    <col min="15891" max="15891" width="24.42578125" style="10" customWidth="1"/>
    <col min="15892" max="15892" width="23" style="10" customWidth="1"/>
    <col min="15893" max="15893" width="26.85546875" style="10" customWidth="1"/>
    <col min="15894" max="15894" width="29" style="10" customWidth="1"/>
    <col min="15895" max="15895" width="34.140625" style="10" customWidth="1"/>
    <col min="15896" max="15896" width="29" style="10" customWidth="1"/>
    <col min="15897" max="15897" width="25" style="10" customWidth="1"/>
    <col min="15898" max="15898" width="36.28515625" style="10" customWidth="1"/>
    <col min="15899" max="15899" width="36.140625" style="10" customWidth="1"/>
    <col min="15900" max="15900" width="31.5703125" style="10" customWidth="1"/>
    <col min="15901" max="15901" width="0" style="10" hidden="1" customWidth="1"/>
    <col min="15902" max="15902" width="35.28515625" style="10" customWidth="1"/>
    <col min="15903" max="15903" width="31" style="10" customWidth="1"/>
    <col min="15904" max="15904" width="34.7109375" style="10" customWidth="1"/>
    <col min="15905" max="15905" width="31.42578125" style="10" customWidth="1"/>
    <col min="15906" max="15906" width="22.5703125" style="10" customWidth="1"/>
    <col min="15907" max="15910" width="0" style="10" hidden="1" customWidth="1"/>
    <col min="15911" max="15911" width="3" style="10" customWidth="1"/>
    <col min="15912" max="15912" width="26.85546875" style="10" customWidth="1"/>
    <col min="15913" max="15913" width="29.85546875" style="10" customWidth="1"/>
    <col min="15914" max="15914" width="32.7109375" style="10" customWidth="1"/>
    <col min="15915" max="15915" width="34.85546875" style="10" customWidth="1"/>
    <col min="15916" max="15916" width="30.42578125" style="10" customWidth="1"/>
    <col min="15917" max="15917" width="13.85546875" style="10" customWidth="1"/>
    <col min="15918" max="15918" width="39.42578125" style="10" customWidth="1"/>
    <col min="15919" max="15919" width="23.5703125" style="10" customWidth="1"/>
    <col min="15920" max="16128" width="11.42578125" style="10"/>
    <col min="16129" max="16129" width="3.85546875" style="10" customWidth="1"/>
    <col min="16130" max="16130" width="8.5703125" style="10" customWidth="1"/>
    <col min="16131" max="16131" width="8.140625" style="10" customWidth="1"/>
    <col min="16132" max="16135" width="3.85546875" style="10" customWidth="1"/>
    <col min="16136" max="16136" width="12.42578125" style="10" customWidth="1"/>
    <col min="16137" max="16137" width="3.85546875" style="10" customWidth="1"/>
    <col min="16138" max="16138" width="45.7109375" style="10" customWidth="1"/>
    <col min="16139" max="16141" width="0" style="10" hidden="1" customWidth="1"/>
    <col min="16142" max="16142" width="35.42578125" style="10" customWidth="1"/>
    <col min="16143" max="16143" width="25.85546875" style="10" customWidth="1"/>
    <col min="16144" max="16144" width="28.85546875" style="10" customWidth="1"/>
    <col min="16145" max="16145" width="30.42578125" style="10" customWidth="1"/>
    <col min="16146" max="16146" width="23.5703125" style="10" customWidth="1"/>
    <col min="16147" max="16147" width="24.42578125" style="10" customWidth="1"/>
    <col min="16148" max="16148" width="23" style="10" customWidth="1"/>
    <col min="16149" max="16149" width="26.85546875" style="10" customWidth="1"/>
    <col min="16150" max="16150" width="29" style="10" customWidth="1"/>
    <col min="16151" max="16151" width="34.140625" style="10" customWidth="1"/>
    <col min="16152" max="16152" width="29" style="10" customWidth="1"/>
    <col min="16153" max="16153" width="25" style="10" customWidth="1"/>
    <col min="16154" max="16154" width="36.28515625" style="10" customWidth="1"/>
    <col min="16155" max="16155" width="36.140625" style="10" customWidth="1"/>
    <col min="16156" max="16156" width="31.5703125" style="10" customWidth="1"/>
    <col min="16157" max="16157" width="0" style="10" hidden="1" customWidth="1"/>
    <col min="16158" max="16158" width="35.28515625" style="10" customWidth="1"/>
    <col min="16159" max="16159" width="31" style="10" customWidth="1"/>
    <col min="16160" max="16160" width="34.7109375" style="10" customWidth="1"/>
    <col min="16161" max="16161" width="31.42578125" style="10" customWidth="1"/>
    <col min="16162" max="16162" width="22.5703125" style="10" customWidth="1"/>
    <col min="16163" max="16166" width="0" style="10" hidden="1" customWidth="1"/>
    <col min="16167" max="16167" width="3" style="10" customWidth="1"/>
    <col min="16168" max="16168" width="26.85546875" style="10" customWidth="1"/>
    <col min="16169" max="16169" width="29.85546875" style="10" customWidth="1"/>
    <col min="16170" max="16170" width="32.7109375" style="10" customWidth="1"/>
    <col min="16171" max="16171" width="34.85546875" style="10" customWidth="1"/>
    <col min="16172" max="16172" width="30.42578125" style="10" customWidth="1"/>
    <col min="16173" max="16173" width="13.85546875" style="10" customWidth="1"/>
    <col min="16174" max="16174" width="39.42578125" style="10" customWidth="1"/>
    <col min="16175" max="16175" width="23.5703125" style="10" customWidth="1"/>
    <col min="16176" max="16384" width="11.42578125" style="10"/>
  </cols>
  <sheetData>
    <row r="1" spans="1:47" ht="18" customHeight="1" x14ac:dyDescent="0.35">
      <c r="A1" s="842" t="s">
        <v>113</v>
      </c>
      <c r="B1" s="842"/>
      <c r="C1" s="842"/>
      <c r="D1" s="842"/>
      <c r="E1" s="842"/>
      <c r="F1" s="842"/>
      <c r="G1" s="842"/>
      <c r="H1" s="842"/>
      <c r="I1" s="842"/>
      <c r="J1" s="842"/>
      <c r="K1" s="842"/>
      <c r="L1" s="842"/>
      <c r="M1" s="842"/>
      <c r="N1" s="842"/>
      <c r="O1" s="842"/>
      <c r="P1" s="842"/>
      <c r="Q1" s="842"/>
      <c r="R1" s="842"/>
      <c r="S1" s="842"/>
      <c r="T1" s="842"/>
      <c r="U1" s="842"/>
      <c r="V1" s="842"/>
      <c r="W1" s="842"/>
      <c r="X1" s="842"/>
      <c r="Y1" s="842"/>
      <c r="Z1" s="842"/>
      <c r="AA1" s="842"/>
      <c r="AB1" s="690"/>
      <c r="AC1" s="690"/>
      <c r="AE1" s="118"/>
    </row>
    <row r="2" spans="1:47" ht="25.5" customHeight="1" x14ac:dyDescent="0.55000000000000004">
      <c r="A2" s="843" t="s">
        <v>323</v>
      </c>
      <c r="B2" s="843"/>
      <c r="C2" s="843"/>
      <c r="D2" s="843"/>
      <c r="E2" s="843"/>
      <c r="F2" s="843"/>
      <c r="G2" s="843"/>
      <c r="H2" s="843"/>
      <c r="I2" s="843"/>
      <c r="J2" s="843"/>
      <c r="K2" s="843"/>
      <c r="L2" s="843"/>
      <c r="M2" s="843"/>
      <c r="N2" s="843"/>
      <c r="O2" s="843"/>
      <c r="P2" s="843"/>
      <c r="Q2" s="843"/>
      <c r="R2" s="843"/>
      <c r="S2" s="843"/>
      <c r="T2" s="843"/>
      <c r="U2" s="843"/>
      <c r="V2" s="843"/>
      <c r="W2" s="843"/>
      <c r="X2" s="843"/>
      <c r="Y2" s="843"/>
      <c r="Z2" s="843"/>
      <c r="AA2" s="843"/>
      <c r="AB2" s="690"/>
      <c r="AC2" s="690"/>
      <c r="AD2" s="118"/>
      <c r="AE2" s="118"/>
      <c r="AF2" s="118"/>
      <c r="AG2" s="126"/>
      <c r="AQ2" s="123">
        <f>SUM(AQ4-AP4)</f>
        <v>0</v>
      </c>
    </row>
    <row r="3" spans="1:47" ht="36.75" customHeight="1" x14ac:dyDescent="0.6">
      <c r="A3" s="22"/>
      <c r="B3" s="844">
        <f>SUM(N14)</f>
        <v>2601173403</v>
      </c>
      <c r="C3" s="844"/>
      <c r="D3" s="844"/>
      <c r="E3" s="844"/>
      <c r="F3" s="844"/>
      <c r="G3" s="844"/>
      <c r="H3" s="844"/>
      <c r="I3" s="844"/>
      <c r="J3" s="60">
        <f>SUM(N89)</f>
        <v>2601173403</v>
      </c>
      <c r="K3" s="22"/>
      <c r="L3" s="22"/>
      <c r="M3" s="22"/>
      <c r="N3" s="127"/>
      <c r="O3" s="128"/>
      <c r="P3" s="22"/>
      <c r="Q3" s="22"/>
      <c r="R3" s="22"/>
      <c r="S3" s="22"/>
      <c r="T3" s="22"/>
      <c r="U3" s="22"/>
      <c r="V3" s="22"/>
      <c r="W3" s="22"/>
      <c r="X3" s="129"/>
      <c r="Y3" s="22"/>
      <c r="Z3" s="22"/>
      <c r="AA3" s="22"/>
      <c r="AB3" s="130"/>
      <c r="AC3" s="130"/>
      <c r="AF3" s="10" t="s">
        <v>324</v>
      </c>
      <c r="AM3" s="131"/>
    </row>
    <row r="4" spans="1:47" ht="27.75" customHeight="1" x14ac:dyDescent="0.4">
      <c r="A4" s="23" t="s">
        <v>87</v>
      </c>
      <c r="B4" s="57" t="s">
        <v>87</v>
      </c>
      <c r="C4" s="57" t="s">
        <v>87</v>
      </c>
      <c r="D4" s="57" t="s">
        <v>87</v>
      </c>
      <c r="E4" s="57" t="s">
        <v>87</v>
      </c>
      <c r="F4" s="57" t="s">
        <v>87</v>
      </c>
      <c r="G4" s="57" t="s">
        <v>87</v>
      </c>
      <c r="H4" s="57" t="s">
        <v>87</v>
      </c>
      <c r="I4" s="57" t="s">
        <v>87</v>
      </c>
      <c r="J4" s="634">
        <f>SUM(N14-N89)</f>
        <v>0</v>
      </c>
      <c r="K4" s="802" t="s">
        <v>325</v>
      </c>
      <c r="L4" s="802" t="s">
        <v>326</v>
      </c>
      <c r="M4" s="802" t="s">
        <v>327</v>
      </c>
      <c r="N4" s="633"/>
      <c r="O4" s="132" t="s">
        <v>87</v>
      </c>
      <c r="P4" s="132" t="s">
        <v>87</v>
      </c>
      <c r="Q4" s="133" t="s">
        <v>328</v>
      </c>
      <c r="R4" s="134"/>
      <c r="S4" s="134"/>
      <c r="T4" s="134"/>
      <c r="U4" s="134"/>
      <c r="V4" s="133"/>
      <c r="W4" s="133"/>
      <c r="X4" s="135"/>
      <c r="Y4" s="136"/>
      <c r="Z4" s="137"/>
      <c r="AA4" s="884" t="s">
        <v>329</v>
      </c>
      <c r="AB4" s="885"/>
      <c r="AC4" s="885"/>
      <c r="AD4" s="885"/>
      <c r="AE4" s="885"/>
      <c r="AF4" s="138"/>
      <c r="AG4" s="139"/>
      <c r="AH4" s="140"/>
      <c r="AI4" s="141"/>
      <c r="AJ4" s="142"/>
      <c r="AK4" s="141"/>
      <c r="AL4" s="881" t="s">
        <v>330</v>
      </c>
      <c r="AO4" s="118">
        <f>AE30+X30</f>
        <v>3817419</v>
      </c>
      <c r="AP4" s="143">
        <f>SUM(AP6:AP95)</f>
        <v>10000000</v>
      </c>
      <c r="AQ4" s="143">
        <f>SUM(AQ6:AQ95)</f>
        <v>10000000</v>
      </c>
      <c r="AR4" s="144">
        <f>SUM(AP4-AQ4)</f>
        <v>0</v>
      </c>
      <c r="AS4" s="145"/>
      <c r="AT4" s="145" t="s">
        <v>331</v>
      </c>
    </row>
    <row r="5" spans="1:47" ht="102.75" customHeight="1" x14ac:dyDescent="0.35">
      <c r="A5" s="24" t="s">
        <v>112</v>
      </c>
      <c r="B5" s="689" t="s">
        <v>111</v>
      </c>
      <c r="C5" s="689" t="s">
        <v>110</v>
      </c>
      <c r="D5" s="689" t="s">
        <v>109</v>
      </c>
      <c r="E5" s="689" t="s">
        <v>108</v>
      </c>
      <c r="F5" s="689" t="s">
        <v>107</v>
      </c>
      <c r="G5" s="689" t="s">
        <v>106</v>
      </c>
      <c r="H5" s="689" t="s">
        <v>105</v>
      </c>
      <c r="I5" s="689" t="s">
        <v>104</v>
      </c>
      <c r="J5" s="59" t="s">
        <v>103</v>
      </c>
      <c r="K5" s="803"/>
      <c r="L5" s="803"/>
      <c r="M5" s="803"/>
      <c r="N5" s="59" t="s">
        <v>332</v>
      </c>
      <c r="O5" s="59" t="s">
        <v>333</v>
      </c>
      <c r="P5" s="146" t="s">
        <v>334</v>
      </c>
      <c r="Q5" s="59" t="s">
        <v>335</v>
      </c>
      <c r="R5" s="37" t="s">
        <v>174</v>
      </c>
      <c r="S5" s="37" t="s">
        <v>187</v>
      </c>
      <c r="T5" s="37" t="s">
        <v>188</v>
      </c>
      <c r="U5" s="37" t="s">
        <v>172</v>
      </c>
      <c r="V5" s="59" t="s">
        <v>336</v>
      </c>
      <c r="W5" s="59" t="s">
        <v>337</v>
      </c>
      <c r="X5" s="147" t="s">
        <v>338</v>
      </c>
      <c r="Y5" s="148" t="s">
        <v>339</v>
      </c>
      <c r="Z5" s="59" t="s">
        <v>340</v>
      </c>
      <c r="AA5" s="149" t="s">
        <v>341</v>
      </c>
      <c r="AB5" s="150" t="s">
        <v>342</v>
      </c>
      <c r="AC5" s="150" t="s">
        <v>343</v>
      </c>
      <c r="AD5" s="151" t="s">
        <v>344</v>
      </c>
      <c r="AE5" s="151" t="s">
        <v>345</v>
      </c>
      <c r="AF5" s="152" t="s">
        <v>346</v>
      </c>
      <c r="AG5" s="153" t="s">
        <v>551</v>
      </c>
      <c r="AH5" s="154" t="s">
        <v>347</v>
      </c>
      <c r="AI5" s="155" t="s">
        <v>348</v>
      </c>
      <c r="AJ5" s="142" t="s">
        <v>349</v>
      </c>
      <c r="AK5" s="156" t="s">
        <v>350</v>
      </c>
      <c r="AL5" s="882"/>
      <c r="AM5" s="157"/>
      <c r="AN5" s="158" t="s">
        <v>351</v>
      </c>
      <c r="AO5" s="158" t="s">
        <v>352</v>
      </c>
      <c r="AP5" s="883" t="s">
        <v>353</v>
      </c>
      <c r="AQ5" s="883"/>
    </row>
    <row r="6" spans="1:47" ht="88.9" customHeight="1" x14ac:dyDescent="0.35">
      <c r="A6" s="159" t="s">
        <v>100</v>
      </c>
      <c r="B6" s="38">
        <v>1</v>
      </c>
      <c r="C6" s="38">
        <v>0</v>
      </c>
      <c r="D6" s="38">
        <v>2</v>
      </c>
      <c r="E6" s="38">
        <v>12</v>
      </c>
      <c r="F6" s="38"/>
      <c r="G6" s="38"/>
      <c r="H6" s="38">
        <v>10</v>
      </c>
      <c r="I6" s="160"/>
      <c r="J6" s="161" t="s">
        <v>354</v>
      </c>
      <c r="K6" s="749"/>
      <c r="L6" s="749"/>
      <c r="M6" s="749"/>
      <c r="N6" s="45">
        <v>123423893</v>
      </c>
      <c r="O6" s="45"/>
      <c r="P6" s="45"/>
      <c r="Q6" s="45">
        <f>SUM(N6+O6-P6)</f>
        <v>123423893</v>
      </c>
      <c r="R6" s="45"/>
      <c r="S6" s="162"/>
      <c r="T6" s="163"/>
      <c r="U6" s="163"/>
      <c r="V6" s="45"/>
      <c r="W6" s="45">
        <v>6961500</v>
      </c>
      <c r="X6" s="164">
        <f>SUM(U6)</f>
        <v>0</v>
      </c>
      <c r="Y6" s="165"/>
      <c r="Z6" s="166">
        <f>SUM(Q6-R6-T6-V6-W6-X6-Y6)</f>
        <v>116462393</v>
      </c>
      <c r="AA6" s="738">
        <v>114282684</v>
      </c>
      <c r="AB6" s="738">
        <v>93720200</v>
      </c>
      <c r="AC6" s="167">
        <f t="shared" ref="AC6:AC57" si="0">SUM(AA6-AB6)</f>
        <v>20562484</v>
      </c>
      <c r="AD6" s="165">
        <f>SUM(Z6-AB6)</f>
        <v>22742193</v>
      </c>
      <c r="AE6" s="165">
        <v>21000000</v>
      </c>
      <c r="AF6" s="168">
        <f>SUM(AD6-AE6)</f>
        <v>1742193</v>
      </c>
      <c r="AG6" s="626">
        <f>SUM(R6+T6+V6+Y6+W6+AB6)</f>
        <v>100681700</v>
      </c>
      <c r="AH6" s="169">
        <f>AB6/(AB6+AE6+AF6)</f>
        <v>0.80472500680970893</v>
      </c>
      <c r="AI6" s="170"/>
      <c r="AJ6" s="171"/>
      <c r="AK6" s="172" t="e">
        <f>SUM(AD6-AE6-#REF!-#REF!)</f>
        <v>#REF!</v>
      </c>
      <c r="AL6" s="173">
        <f>SUM(Q6-(AD6+X6))/Q6</f>
        <v>0.81573913731598147</v>
      </c>
      <c r="AM6" s="174"/>
      <c r="AN6" s="175" t="s">
        <v>355</v>
      </c>
      <c r="AO6" s="176" t="s">
        <v>1497</v>
      </c>
      <c r="AP6" s="716"/>
      <c r="AQ6" s="177"/>
    </row>
    <row r="7" spans="1:47" s="119" customFormat="1" ht="29.25" customHeight="1" x14ac:dyDescent="0.55000000000000004">
      <c r="A7" s="178"/>
      <c r="B7" s="38">
        <v>1</v>
      </c>
      <c r="C7" s="38">
        <v>0</v>
      </c>
      <c r="D7" s="38">
        <v>2</v>
      </c>
      <c r="E7" s="38">
        <v>100</v>
      </c>
      <c r="F7" s="38"/>
      <c r="G7" s="38"/>
      <c r="H7" s="38"/>
      <c r="I7" s="38"/>
      <c r="J7" s="36" t="s">
        <v>356</v>
      </c>
      <c r="K7" s="749"/>
      <c r="L7" s="749"/>
      <c r="M7" s="749"/>
      <c r="N7" s="45">
        <v>1000000</v>
      </c>
      <c r="O7" s="45"/>
      <c r="P7" s="45"/>
      <c r="Q7" s="45">
        <f>SUM(N7+O7-P7)</f>
        <v>1000000</v>
      </c>
      <c r="R7" s="45"/>
      <c r="S7" s="162"/>
      <c r="T7" s="45"/>
      <c r="U7" s="45"/>
      <c r="V7" s="45">
        <v>1500000</v>
      </c>
      <c r="W7" s="45"/>
      <c r="X7" s="164">
        <f>SUM(U7)</f>
        <v>0</v>
      </c>
      <c r="Y7" s="165"/>
      <c r="Z7" s="166"/>
      <c r="AA7" s="166"/>
      <c r="AB7" s="166"/>
      <c r="AC7" s="166">
        <f t="shared" si="0"/>
        <v>0</v>
      </c>
      <c r="AD7" s="165">
        <f>SUM(Z7-AB7)</f>
        <v>0</v>
      </c>
      <c r="AE7" s="165"/>
      <c r="AF7" s="165">
        <f>SUM(AD7-AE7)</f>
        <v>0</v>
      </c>
      <c r="AG7" s="626">
        <f>SUM(R7+T7+V7+Y7+W7+AB7)</f>
        <v>1500000</v>
      </c>
      <c r="AH7" s="179" t="s">
        <v>36</v>
      </c>
      <c r="AI7" s="170"/>
      <c r="AJ7" s="171"/>
      <c r="AK7" s="172" t="e">
        <f>SUM(AD7-AE7-#REF!-#REF!)</f>
        <v>#REF!</v>
      </c>
      <c r="AL7" s="173">
        <f>SUM(Q7-(AD7+X7))/Q7</f>
        <v>1</v>
      </c>
      <c r="AM7" s="180"/>
      <c r="AN7" s="181"/>
      <c r="AO7" s="182"/>
      <c r="AP7" s="52"/>
      <c r="AQ7" s="52"/>
      <c r="AR7" s="183"/>
      <c r="AU7" s="184"/>
    </row>
    <row r="8" spans="1:47" s="28" customFormat="1" ht="42" customHeight="1" x14ac:dyDescent="0.55000000000000004">
      <c r="A8" s="27"/>
      <c r="B8" s="185"/>
      <c r="C8" s="185"/>
      <c r="D8" s="185"/>
      <c r="E8" s="185"/>
      <c r="F8" s="185"/>
      <c r="G8" s="185"/>
      <c r="H8" s="185"/>
      <c r="I8" s="185"/>
      <c r="J8" s="186" t="s">
        <v>357</v>
      </c>
      <c r="K8" s="187"/>
      <c r="L8" s="187"/>
      <c r="M8" s="187"/>
      <c r="N8" s="188">
        <f>SUM(N6:N7)</f>
        <v>124423893</v>
      </c>
      <c r="O8" s="188">
        <f>SUM(O6:O7)</f>
        <v>0</v>
      </c>
      <c r="P8" s="188">
        <f>SUM(P6:P7)</f>
        <v>0</v>
      </c>
      <c r="Q8" s="188">
        <f>SUM(Q6:Q7)</f>
        <v>124423893</v>
      </c>
      <c r="R8" s="188"/>
      <c r="S8" s="189"/>
      <c r="T8" s="188">
        <f>SUM(T6:T7)</f>
        <v>0</v>
      </c>
      <c r="U8" s="188">
        <f>SUM(U6:U7)</f>
        <v>0</v>
      </c>
      <c r="V8" s="188">
        <f>SUM(V6:V7)</f>
        <v>1500000</v>
      </c>
      <c r="W8" s="188">
        <f t="shared" ref="W8:AF8" si="1">SUM(W6:W7)</f>
        <v>6961500</v>
      </c>
      <c r="X8" s="190">
        <f t="shared" si="1"/>
        <v>0</v>
      </c>
      <c r="Y8" s="191">
        <f t="shared" si="1"/>
        <v>0</v>
      </c>
      <c r="Z8" s="191">
        <f t="shared" si="1"/>
        <v>116462393</v>
      </c>
      <c r="AA8" s="191">
        <f t="shared" si="1"/>
        <v>114282684</v>
      </c>
      <c r="AB8" s="191">
        <f t="shared" si="1"/>
        <v>93720200</v>
      </c>
      <c r="AC8" s="191">
        <f t="shared" si="1"/>
        <v>20562484</v>
      </c>
      <c r="AD8" s="191">
        <f t="shared" si="1"/>
        <v>22742193</v>
      </c>
      <c r="AE8" s="191">
        <f t="shared" si="1"/>
        <v>21000000</v>
      </c>
      <c r="AF8" s="191">
        <f t="shared" si="1"/>
        <v>1742193</v>
      </c>
      <c r="AG8" s="188"/>
      <c r="AH8" s="192">
        <f>AB8/(AB8+AE8+AF8)</f>
        <v>0.80472500680970893</v>
      </c>
      <c r="AI8" s="193"/>
      <c r="AJ8" s="194"/>
      <c r="AK8" s="195" t="e">
        <f>SUM(AD8-AE8-#REF!-#REF!)</f>
        <v>#REF!</v>
      </c>
      <c r="AL8" s="196">
        <f>SUM(Q8-(AD8+X8))/Q8</f>
        <v>0.81722004952859018</v>
      </c>
      <c r="AM8" s="197"/>
      <c r="AN8" s="198"/>
      <c r="AO8" s="199"/>
      <c r="AP8" s="200"/>
      <c r="AQ8" s="200"/>
      <c r="AR8" s="124"/>
      <c r="AU8" s="125"/>
    </row>
    <row r="9" spans="1:47" s="119" customFormat="1" ht="63" customHeight="1" x14ac:dyDescent="0.55000000000000004">
      <c r="A9" s="201"/>
      <c r="B9" s="202"/>
      <c r="C9" s="202"/>
      <c r="D9" s="202"/>
      <c r="E9" s="202"/>
      <c r="F9" s="202"/>
      <c r="G9" s="202"/>
      <c r="H9" s="202"/>
      <c r="I9" s="202"/>
      <c r="J9" s="186" t="s">
        <v>358</v>
      </c>
      <c r="K9" s="203"/>
      <c r="L9" s="203"/>
      <c r="M9" s="203"/>
      <c r="N9" s="188">
        <v>0</v>
      </c>
      <c r="O9" s="188">
        <f>SUM(O8)</f>
        <v>0</v>
      </c>
      <c r="P9" s="188">
        <f>SUM(P8)</f>
        <v>0</v>
      </c>
      <c r="Q9" s="188">
        <f>SUM(Q8)</f>
        <v>124423893</v>
      </c>
      <c r="R9" s="188"/>
      <c r="S9" s="189"/>
      <c r="T9" s="188">
        <f>SUM(T8)</f>
        <v>0</v>
      </c>
      <c r="U9" s="188"/>
      <c r="V9" s="188">
        <f>SUM(V8)</f>
        <v>1500000</v>
      </c>
      <c r="W9" s="188">
        <f t="shared" ref="W9:AF9" si="2">SUM(W8)</f>
        <v>6961500</v>
      </c>
      <c r="X9" s="164">
        <f t="shared" si="2"/>
        <v>0</v>
      </c>
      <c r="Y9" s="204">
        <f t="shared" si="2"/>
        <v>0</v>
      </c>
      <c r="Z9" s="191">
        <f t="shared" si="2"/>
        <v>116462393</v>
      </c>
      <c r="AA9" s="191">
        <f t="shared" si="2"/>
        <v>114282684</v>
      </c>
      <c r="AB9" s="191">
        <f t="shared" si="2"/>
        <v>93720200</v>
      </c>
      <c r="AC9" s="191">
        <f t="shared" si="2"/>
        <v>20562484</v>
      </c>
      <c r="AD9" s="204">
        <f t="shared" si="2"/>
        <v>22742193</v>
      </c>
      <c r="AE9" s="204">
        <f t="shared" si="2"/>
        <v>21000000</v>
      </c>
      <c r="AF9" s="204">
        <f t="shared" si="2"/>
        <v>1742193</v>
      </c>
      <c r="AG9" s="205"/>
      <c r="AH9" s="192">
        <f>AB9/(AB9+AE9+AF9)</f>
        <v>0.80472500680970893</v>
      </c>
      <c r="AI9" s="193"/>
      <c r="AJ9" s="194"/>
      <c r="AK9" s="195" t="e">
        <f>SUM(AD9-AE9-#REF!-#REF!)</f>
        <v>#REF!</v>
      </c>
      <c r="AL9" s="196">
        <f>SUM(Q9-(AD9+X9))/Q9</f>
        <v>0.81722004952859018</v>
      </c>
      <c r="AM9" s="206"/>
      <c r="AN9" s="198"/>
      <c r="AO9" s="199"/>
      <c r="AP9" s="200"/>
      <c r="AQ9" s="200"/>
      <c r="AR9" s="183"/>
      <c r="AU9" s="184"/>
    </row>
    <row r="10" spans="1:47" s="28" customFormat="1" ht="37.5" customHeight="1" x14ac:dyDescent="0.55000000000000004">
      <c r="A10" s="207" t="s">
        <v>100</v>
      </c>
      <c r="B10" s="208">
        <v>2</v>
      </c>
      <c r="C10" s="208">
        <v>0</v>
      </c>
      <c r="D10" s="208">
        <v>3</v>
      </c>
      <c r="E10" s="209">
        <v>50</v>
      </c>
      <c r="F10" s="209">
        <v>3</v>
      </c>
      <c r="G10" s="209"/>
      <c r="H10" s="209"/>
      <c r="I10" s="209"/>
      <c r="J10" s="36" t="s">
        <v>359</v>
      </c>
      <c r="K10" s="749"/>
      <c r="L10" s="749">
        <v>21561938</v>
      </c>
      <c r="M10" s="749"/>
      <c r="N10" s="45">
        <v>28920000</v>
      </c>
      <c r="O10" s="45">
        <v>8095000</v>
      </c>
      <c r="P10" s="45"/>
      <c r="Q10" s="211">
        <f>SUM(N10+O10-P10)</f>
        <v>37015000</v>
      </c>
      <c r="R10" s="45"/>
      <c r="S10" s="162"/>
      <c r="T10" s="45"/>
      <c r="U10" s="45"/>
      <c r="V10" s="45">
        <v>37015000</v>
      </c>
      <c r="W10" s="45"/>
      <c r="X10" s="164"/>
      <c r="Y10" s="165"/>
      <c r="Z10" s="166">
        <f>SUM(Q10-R10-T10-V10-W10-X10-Y10)</f>
        <v>0</v>
      </c>
      <c r="AA10" s="212"/>
      <c r="AB10" s="212"/>
      <c r="AC10" s="166"/>
      <c r="AD10" s="165">
        <f>SUM(Z10-AB10)</f>
        <v>0</v>
      </c>
      <c r="AE10" s="165"/>
      <c r="AF10" s="168">
        <f>SUM(AD10-AE10)</f>
        <v>0</v>
      </c>
      <c r="AG10" s="626">
        <f>SUM(R10+T10+V10+Y10+W10+AB10)</f>
        <v>37015000</v>
      </c>
      <c r="AH10" s="169" t="s">
        <v>36</v>
      </c>
      <c r="AI10" s="170"/>
      <c r="AJ10" s="171"/>
      <c r="AK10" s="172" t="e">
        <f>SUM(AD10-AE10-#REF!-#REF!)</f>
        <v>#REF!</v>
      </c>
      <c r="AL10" s="173">
        <f>SUM(AG10-AN10)/(AG10)</f>
        <v>1</v>
      </c>
      <c r="AM10" s="174"/>
      <c r="AN10" s="181"/>
      <c r="AO10" s="624"/>
      <c r="AP10" s="52"/>
      <c r="AQ10" s="177"/>
      <c r="AR10" s="124"/>
      <c r="AU10" s="125"/>
    </row>
    <row r="11" spans="1:47" s="28" customFormat="1" ht="35.25" customHeight="1" x14ac:dyDescent="0.35">
      <c r="A11" s="207" t="s">
        <v>100</v>
      </c>
      <c r="B11" s="208">
        <v>2</v>
      </c>
      <c r="C11" s="208">
        <v>0</v>
      </c>
      <c r="D11" s="208">
        <v>3</v>
      </c>
      <c r="E11" s="209">
        <v>50</v>
      </c>
      <c r="F11" s="209" t="s">
        <v>101</v>
      </c>
      <c r="G11" s="209">
        <v>0</v>
      </c>
      <c r="H11" s="209">
        <v>10</v>
      </c>
      <c r="I11" s="209"/>
      <c r="J11" s="36" t="s">
        <v>360</v>
      </c>
      <c r="K11" s="749"/>
      <c r="L11" s="749"/>
      <c r="M11" s="749"/>
      <c r="N11" s="45">
        <v>950000</v>
      </c>
      <c r="O11" s="45"/>
      <c r="P11" s="45"/>
      <c r="Q11" s="211">
        <f>SUM(N11+O11-P11)</f>
        <v>950000</v>
      </c>
      <c r="R11" s="45"/>
      <c r="S11" s="162"/>
      <c r="T11" s="45"/>
      <c r="U11" s="45"/>
      <c r="V11" s="45">
        <v>950000</v>
      </c>
      <c r="W11" s="45"/>
      <c r="X11" s="164"/>
      <c r="Y11" s="165"/>
      <c r="Z11" s="166">
        <v>0</v>
      </c>
      <c r="AA11" s="212"/>
      <c r="AB11" s="212"/>
      <c r="AC11" s="166"/>
      <c r="AD11" s="165">
        <f>SUM(Z11-AB11)</f>
        <v>0</v>
      </c>
      <c r="AE11" s="165"/>
      <c r="AF11" s="168">
        <f>SUM(AD11-AE11)</f>
        <v>0</v>
      </c>
      <c r="AG11" s="626">
        <f>SUM(R11+T11+V11+Y11+W11+AB11)</f>
        <v>950000</v>
      </c>
      <c r="AH11" s="169" t="s">
        <v>36</v>
      </c>
      <c r="AI11" s="170"/>
      <c r="AJ11" s="171"/>
      <c r="AK11" s="172" t="e">
        <f>SUM(AD11-AE11-#REF!-#REF!)</f>
        <v>#REF!</v>
      </c>
      <c r="AL11" s="173">
        <f>SUM(AG11-AN11)/(AG11)</f>
        <v>1</v>
      </c>
      <c r="AM11" s="180"/>
      <c r="AN11" s="181"/>
      <c r="AO11" s="182"/>
      <c r="AP11" s="52"/>
      <c r="AQ11" s="177"/>
      <c r="AR11" s="124"/>
      <c r="AU11" s="125"/>
    </row>
    <row r="12" spans="1:47" s="28" customFormat="1" ht="50.25" customHeight="1" x14ac:dyDescent="0.55000000000000004">
      <c r="A12" s="207"/>
      <c r="B12" s="209">
        <v>2</v>
      </c>
      <c r="C12" s="209">
        <v>0</v>
      </c>
      <c r="D12" s="209">
        <v>3</v>
      </c>
      <c r="E12" s="209">
        <v>51</v>
      </c>
      <c r="F12" s="209">
        <v>1</v>
      </c>
      <c r="G12" s="209">
        <v>0</v>
      </c>
      <c r="H12" s="209">
        <v>10</v>
      </c>
      <c r="I12" s="209"/>
      <c r="J12" s="36" t="s">
        <v>361</v>
      </c>
      <c r="K12" s="749"/>
      <c r="L12" s="749"/>
      <c r="M12" s="749"/>
      <c r="N12" s="45">
        <v>0</v>
      </c>
      <c r="O12" s="45"/>
      <c r="P12" s="45"/>
      <c r="Q12" s="211">
        <f>SUM(N12+O12-P12)</f>
        <v>0</v>
      </c>
      <c r="R12" s="45"/>
      <c r="S12" s="162"/>
      <c r="T12" s="45"/>
      <c r="U12" s="45"/>
      <c r="V12" s="45"/>
      <c r="W12" s="45"/>
      <c r="X12" s="164"/>
      <c r="Y12" s="165"/>
      <c r="Z12" s="166">
        <f>SUM(Q12-R12-T12-V12-W12-X12-Y12)</f>
        <v>0</v>
      </c>
      <c r="AA12" s="212"/>
      <c r="AB12" s="212"/>
      <c r="AC12" s="166"/>
      <c r="AD12" s="165">
        <f>SUM(Z12-AB12)</f>
        <v>0</v>
      </c>
      <c r="AE12" s="165"/>
      <c r="AF12" s="165">
        <f>SUM(AD12-AE12)</f>
        <v>0</v>
      </c>
      <c r="AG12" s="626">
        <f>SUM(R12+T12+V12+Y12+W12+AB12)</f>
        <v>0</v>
      </c>
      <c r="AH12" s="169" t="s">
        <v>36</v>
      </c>
      <c r="AI12" s="170"/>
      <c r="AJ12" s="171"/>
      <c r="AK12" s="172" t="e">
        <f>SUM(AD12-AE12-#REF!-#REF!)</f>
        <v>#REF!</v>
      </c>
      <c r="AL12" s="173" t="e">
        <f>SUM(AG12-AN12)/(AG12)</f>
        <v>#DIV/0!</v>
      </c>
      <c r="AM12" s="180"/>
      <c r="AN12" s="181"/>
      <c r="AO12" s="182"/>
      <c r="AP12" s="52"/>
      <c r="AQ12" s="213"/>
      <c r="AR12" s="124"/>
      <c r="AU12" s="125"/>
    </row>
    <row r="13" spans="1:47" s="119" customFormat="1" ht="44.25" customHeight="1" x14ac:dyDescent="0.55000000000000004">
      <c r="A13" s="178" t="s">
        <v>100</v>
      </c>
      <c r="B13" s="185">
        <v>2</v>
      </c>
      <c r="C13" s="185">
        <v>0</v>
      </c>
      <c r="D13" s="185">
        <v>3</v>
      </c>
      <c r="E13" s="214"/>
      <c r="F13" s="214"/>
      <c r="G13" s="214"/>
      <c r="H13" s="214"/>
      <c r="I13" s="214"/>
      <c r="J13" s="186" t="s">
        <v>362</v>
      </c>
      <c r="K13" s="203"/>
      <c r="L13" s="203"/>
      <c r="M13" s="203"/>
      <c r="N13" s="188">
        <f t="shared" ref="N13:Z13" si="3">SUM(N10:N12)</f>
        <v>29870000</v>
      </c>
      <c r="O13" s="188">
        <f t="shared" si="3"/>
        <v>8095000</v>
      </c>
      <c r="P13" s="188">
        <f t="shared" si="3"/>
        <v>0</v>
      </c>
      <c r="Q13" s="188">
        <f t="shared" si="3"/>
        <v>37965000</v>
      </c>
      <c r="R13" s="188">
        <f t="shared" si="3"/>
        <v>0</v>
      </c>
      <c r="S13" s="188">
        <f t="shared" si="3"/>
        <v>0</v>
      </c>
      <c r="T13" s="188">
        <f t="shared" si="3"/>
        <v>0</v>
      </c>
      <c r="U13" s="188">
        <f t="shared" si="3"/>
        <v>0</v>
      </c>
      <c r="V13" s="188">
        <f t="shared" si="3"/>
        <v>37965000</v>
      </c>
      <c r="W13" s="188">
        <f t="shared" si="3"/>
        <v>0</v>
      </c>
      <c r="X13" s="215">
        <f>SUM(X10:X12)</f>
        <v>0</v>
      </c>
      <c r="Y13" s="191">
        <f t="shared" si="3"/>
        <v>0</v>
      </c>
      <c r="Z13" s="191">
        <f t="shared" si="3"/>
        <v>0</v>
      </c>
      <c r="AA13" s="216"/>
      <c r="AB13" s="216"/>
      <c r="AC13" s="216">
        <f t="shared" si="0"/>
        <v>0</v>
      </c>
      <c r="AD13" s="204">
        <f>SUM(AD10:AD11)</f>
        <v>0</v>
      </c>
      <c r="AE13" s="204"/>
      <c r="AF13" s="204">
        <f>SUM(AF10:AF11)</f>
        <v>0</v>
      </c>
      <c r="AG13" s="205"/>
      <c r="AH13" s="217" t="s">
        <v>36</v>
      </c>
      <c r="AI13" s="218"/>
      <c r="AJ13" s="219"/>
      <c r="AK13" s="220" t="e">
        <f>SUM(AD13-AE13-#REF!+#REF!)</f>
        <v>#REF!</v>
      </c>
      <c r="AL13" s="196">
        <f>SUM(Q13-(AD13+X13))/Q13</f>
        <v>1</v>
      </c>
      <c r="AM13" s="206"/>
      <c r="AN13" s="198"/>
      <c r="AO13" s="221"/>
      <c r="AP13" s="200"/>
      <c r="AQ13" s="200"/>
      <c r="AR13" s="183"/>
      <c r="AU13" s="184"/>
    </row>
    <row r="14" spans="1:47" s="28" customFormat="1" ht="26.1" x14ac:dyDescent="0.55000000000000004">
      <c r="A14" s="207" t="s">
        <v>100</v>
      </c>
      <c r="B14" s="208">
        <v>2</v>
      </c>
      <c r="C14" s="208">
        <v>0</v>
      </c>
      <c r="D14" s="208">
        <v>4</v>
      </c>
      <c r="E14" s="209"/>
      <c r="F14" s="209"/>
      <c r="G14" s="209"/>
      <c r="H14" s="209"/>
      <c r="I14" s="209"/>
      <c r="J14" s="222" t="s">
        <v>363</v>
      </c>
      <c r="K14" s="210"/>
      <c r="L14" s="210"/>
      <c r="M14" s="210"/>
      <c r="N14" s="599">
        <v>2601173403</v>
      </c>
      <c r="O14" s="211"/>
      <c r="P14" s="211"/>
      <c r="Q14" s="211"/>
      <c r="R14" s="45"/>
      <c r="S14" s="162"/>
      <c r="T14" s="45"/>
      <c r="U14" s="45"/>
      <c r="V14" s="45"/>
      <c r="W14" s="45"/>
      <c r="X14" s="164"/>
      <c r="Y14" s="165"/>
      <c r="Z14" s="166"/>
      <c r="AA14" s="166"/>
      <c r="AB14" s="166"/>
      <c r="AC14" s="166">
        <f t="shared" si="0"/>
        <v>0</v>
      </c>
      <c r="AD14" s="165"/>
      <c r="AE14" s="165"/>
      <c r="AF14" s="165"/>
      <c r="AG14" s="577"/>
      <c r="AH14" s="223"/>
      <c r="AI14" s="224"/>
      <c r="AJ14" s="225"/>
      <c r="AK14" s="226" t="e">
        <f>SUM(AD14-AE14-#REF!+#REF!)</f>
        <v>#REF!</v>
      </c>
      <c r="AL14" s="227"/>
      <c r="AM14" s="228"/>
      <c r="AN14" s="229"/>
      <c r="AO14" s="230"/>
      <c r="AP14" s="52"/>
      <c r="AQ14" s="52"/>
      <c r="AR14" s="124"/>
      <c r="AU14" s="125"/>
    </row>
    <row r="15" spans="1:47" ht="8.25" customHeight="1" x14ac:dyDescent="0.55000000000000004">
      <c r="A15" s="231"/>
      <c r="B15" s="232"/>
      <c r="C15" s="232"/>
      <c r="D15" s="232"/>
      <c r="E15" s="232"/>
      <c r="F15" s="232"/>
      <c r="G15" s="232"/>
      <c r="H15" s="232"/>
      <c r="I15" s="232"/>
      <c r="J15" s="233"/>
      <c r="K15" s="234"/>
      <c r="L15" s="234"/>
      <c r="M15" s="235"/>
      <c r="N15" s="236"/>
      <c r="O15" s="236"/>
      <c r="P15" s="236"/>
      <c r="Q15" s="237"/>
      <c r="R15" s="237"/>
      <c r="S15" s="237"/>
      <c r="T15" s="237"/>
      <c r="U15" s="237"/>
      <c r="V15" s="237"/>
      <c r="W15" s="237"/>
      <c r="X15" s="238"/>
      <c r="Y15" s="239"/>
      <c r="Z15" s="239"/>
      <c r="AA15" s="239"/>
      <c r="AB15" s="239"/>
      <c r="AC15" s="239"/>
      <c r="AD15" s="239"/>
      <c r="AE15" s="239"/>
      <c r="AF15" s="239"/>
      <c r="AG15" s="240"/>
      <c r="AH15" s="241"/>
      <c r="AI15" s="242"/>
      <c r="AJ15" s="242"/>
      <c r="AK15" s="243"/>
      <c r="AL15" s="241"/>
      <c r="AM15" s="244"/>
      <c r="AN15" s="198"/>
      <c r="AO15" s="245"/>
      <c r="AP15" s="200"/>
      <c r="AQ15" s="200"/>
    </row>
    <row r="16" spans="1:47" ht="8.25" customHeight="1" x14ac:dyDescent="0.55000000000000004">
      <c r="A16" s="231"/>
      <c r="B16" s="246"/>
      <c r="C16" s="246"/>
      <c r="D16" s="246"/>
      <c r="E16" s="246"/>
      <c r="F16" s="246"/>
      <c r="G16" s="246"/>
      <c r="H16" s="246"/>
      <c r="I16" s="246"/>
      <c r="J16" s="247"/>
      <c r="K16" s="248"/>
      <c r="L16" s="248"/>
      <c r="M16" s="249"/>
      <c r="N16" s="250"/>
      <c r="O16" s="250"/>
      <c r="P16" s="250"/>
      <c r="Q16" s="251"/>
      <c r="R16" s="251"/>
      <c r="S16" s="251"/>
      <c r="T16" s="251"/>
      <c r="U16" s="251"/>
      <c r="V16" s="251"/>
      <c r="W16" s="251"/>
      <c r="X16" s="252"/>
      <c r="Y16" s="253"/>
      <c r="Z16" s="253"/>
      <c r="AA16" s="253"/>
      <c r="AB16" s="253"/>
      <c r="AC16" s="253"/>
      <c r="AD16" s="253"/>
      <c r="AE16" s="253"/>
      <c r="AF16" s="253"/>
      <c r="AG16" s="240"/>
      <c r="AH16" s="254"/>
      <c r="AI16" s="251"/>
      <c r="AJ16" s="251"/>
      <c r="AK16" s="255"/>
      <c r="AL16" s="254"/>
      <c r="AM16" s="244"/>
      <c r="AN16" s="198"/>
      <c r="AO16" s="245"/>
      <c r="AP16" s="200"/>
      <c r="AQ16" s="200"/>
    </row>
    <row r="17" spans="1:47" s="29" customFormat="1" ht="40.5" customHeight="1" x14ac:dyDescent="0.55000000000000004">
      <c r="A17" s="27"/>
      <c r="B17" s="800" t="s">
        <v>114</v>
      </c>
      <c r="C17" s="800"/>
      <c r="D17" s="800"/>
      <c r="E17" s="800"/>
      <c r="F17" s="800"/>
      <c r="G17" s="800"/>
      <c r="H17" s="800"/>
      <c r="I17" s="800"/>
      <c r="J17" s="800"/>
      <c r="K17" s="688"/>
      <c r="L17" s="688"/>
      <c r="M17" s="688"/>
      <c r="N17" s="45"/>
      <c r="O17" s="45"/>
      <c r="P17" s="46"/>
      <c r="Q17" s="46"/>
      <c r="R17" s="46"/>
      <c r="S17" s="46"/>
      <c r="T17" s="46"/>
      <c r="U17" s="46"/>
      <c r="V17" s="66"/>
      <c r="W17" s="66"/>
      <c r="X17" s="256">
        <f>SUM(U17)</f>
        <v>0</v>
      </c>
      <c r="Y17" s="66"/>
      <c r="Z17" s="66"/>
      <c r="AA17" s="257"/>
      <c r="AB17" s="66"/>
      <c r="AC17" s="66"/>
      <c r="AD17" s="66"/>
      <c r="AE17" s="66"/>
      <c r="AF17" s="66"/>
      <c r="AG17" s="627"/>
      <c r="AH17" s="66"/>
      <c r="AI17" s="66"/>
      <c r="AJ17" s="66"/>
      <c r="AK17" s="258"/>
      <c r="AL17" s="259"/>
      <c r="AM17" s="228"/>
      <c r="AN17" s="260"/>
      <c r="AO17" s="261"/>
      <c r="AP17" s="77"/>
      <c r="AQ17" s="177">
        <v>0</v>
      </c>
      <c r="AR17" s="262"/>
      <c r="AU17" s="263"/>
    </row>
    <row r="18" spans="1:47" s="29" customFormat="1" ht="36" x14ac:dyDescent="0.35">
      <c r="A18" s="264" t="s">
        <v>100</v>
      </c>
      <c r="B18" s="265">
        <v>2</v>
      </c>
      <c r="C18" s="265">
        <v>0</v>
      </c>
      <c r="D18" s="265">
        <v>4</v>
      </c>
      <c r="E18" s="265">
        <v>1</v>
      </c>
      <c r="F18" s="265">
        <v>6</v>
      </c>
      <c r="G18" s="38" t="s">
        <v>147</v>
      </c>
      <c r="H18" s="25">
        <v>10</v>
      </c>
      <c r="I18" s="25" t="s">
        <v>88</v>
      </c>
      <c r="J18" s="36" t="s">
        <v>364</v>
      </c>
      <c r="K18" s="688">
        <v>26312050</v>
      </c>
      <c r="L18" s="688">
        <v>100121585</v>
      </c>
      <c r="M18" s="688">
        <v>22000000</v>
      </c>
      <c r="N18" s="45"/>
      <c r="O18" s="45"/>
      <c r="P18" s="45"/>
      <c r="Q18" s="45">
        <f>SUM(N18+O18-P18)</f>
        <v>0</v>
      </c>
      <c r="R18" s="266"/>
      <c r="S18" s="267"/>
      <c r="T18" s="266"/>
      <c r="U18" s="266">
        <f>SUM(S18-T18)</f>
        <v>0</v>
      </c>
      <c r="V18" s="63"/>
      <c r="W18" s="63"/>
      <c r="X18" s="256">
        <f>SUM(U18)</f>
        <v>0</v>
      </c>
      <c r="Y18" s="268"/>
      <c r="Z18" s="63">
        <f>SUM(Q18-R18-T18-V18-W18-X18-Y18)</f>
        <v>0</v>
      </c>
      <c r="AA18" s="268"/>
      <c r="AB18" s="63"/>
      <c r="AC18" s="63">
        <f t="shared" si="0"/>
        <v>0</v>
      </c>
      <c r="AD18" s="268">
        <f t="shared" ref="AD18:AD56" si="4">SUM(Z18-AB18)</f>
        <v>0</v>
      </c>
      <c r="AE18" s="268"/>
      <c r="AF18" s="268">
        <f>SUM(AD18-AE18)</f>
        <v>0</v>
      </c>
      <c r="AG18" s="628">
        <f>SUM(R18+T18+V18+Y18+W18+AB18)</f>
        <v>0</v>
      </c>
      <c r="AH18" s="269"/>
      <c r="AI18" s="270"/>
      <c r="AJ18" s="271"/>
      <c r="AK18" s="272" t="e">
        <f>SUM(AD18-AE18-#REF!-#REF!)</f>
        <v>#REF!</v>
      </c>
      <c r="AL18" s="273" t="e">
        <f t="shared" ref="AL18:AL25" si="5">SUM(Q18-(AD18+X18))/Q18</f>
        <v>#DIV/0!</v>
      </c>
      <c r="AM18" s="174"/>
      <c r="AN18" s="260"/>
      <c r="AO18" s="274"/>
      <c r="AP18" s="77"/>
      <c r="AQ18" s="177"/>
      <c r="AR18" s="262"/>
      <c r="AU18" s="263"/>
    </row>
    <row r="19" spans="1:47" s="29" customFormat="1" ht="36" x14ac:dyDescent="0.35">
      <c r="A19" s="27" t="s">
        <v>100</v>
      </c>
      <c r="B19" s="38">
        <v>2</v>
      </c>
      <c r="C19" s="38">
        <v>0</v>
      </c>
      <c r="D19" s="38">
        <v>4</v>
      </c>
      <c r="E19" s="38">
        <v>1</v>
      </c>
      <c r="F19" s="38">
        <v>8</v>
      </c>
      <c r="G19" s="38" t="s">
        <v>147</v>
      </c>
      <c r="H19" s="25">
        <v>10</v>
      </c>
      <c r="I19" s="25" t="s">
        <v>88</v>
      </c>
      <c r="J19" s="42" t="s">
        <v>365</v>
      </c>
      <c r="K19" s="688"/>
      <c r="L19" s="688">
        <v>223529923</v>
      </c>
      <c r="M19" s="688">
        <v>36257167</v>
      </c>
      <c r="N19" s="47">
        <v>20100403</v>
      </c>
      <c r="O19" s="45"/>
      <c r="P19" s="45">
        <f>17100403+3000000</f>
        <v>20100403</v>
      </c>
      <c r="Q19" s="45">
        <f t="shared" ref="Q19:Q24" si="6">SUM(N19+O19-P19)</f>
        <v>0</v>
      </c>
      <c r="R19" s="266"/>
      <c r="S19" s="267"/>
      <c r="T19" s="266"/>
      <c r="U19" s="266">
        <f>SUM(S19-T19)</f>
        <v>0</v>
      </c>
      <c r="V19" s="63"/>
      <c r="W19" s="63"/>
      <c r="X19" s="256">
        <f>SUM(U19)</f>
        <v>0</v>
      </c>
      <c r="Y19" s="268"/>
      <c r="Z19" s="63">
        <f>SUM(Q19-R19-T19-V19-W19-X19-Y19)</f>
        <v>0</v>
      </c>
      <c r="AA19" s="268"/>
      <c r="AB19" s="63"/>
      <c r="AC19" s="63">
        <f t="shared" si="0"/>
        <v>0</v>
      </c>
      <c r="AD19" s="268">
        <f t="shared" si="4"/>
        <v>0</v>
      </c>
      <c r="AE19" s="268"/>
      <c r="AF19" s="268">
        <f>SUM(AD19-AE19)</f>
        <v>0</v>
      </c>
      <c r="AG19" s="628">
        <f>SUM(R19+T19+V19+Y19+W19+AB19)</f>
        <v>0</v>
      </c>
      <c r="AH19" s="269"/>
      <c r="AI19" s="270"/>
      <c r="AJ19" s="271"/>
      <c r="AK19" s="272" t="e">
        <f>SUM(AD19-AE19-#REF!-#REF!)</f>
        <v>#REF!</v>
      </c>
      <c r="AL19" s="273" t="e">
        <f t="shared" si="5"/>
        <v>#DIV/0!</v>
      </c>
      <c r="AM19" s="174"/>
      <c r="AN19" s="260"/>
      <c r="AO19" s="274"/>
      <c r="AP19" s="77"/>
      <c r="AQ19" s="177"/>
      <c r="AR19" s="262"/>
      <c r="AU19" s="263"/>
    </row>
    <row r="20" spans="1:47" s="29" customFormat="1" ht="138.75" customHeight="1" x14ac:dyDescent="0.35">
      <c r="A20" s="27" t="s">
        <v>100</v>
      </c>
      <c r="B20" s="38">
        <v>2</v>
      </c>
      <c r="C20" s="38">
        <v>0</v>
      </c>
      <c r="D20" s="38">
        <v>4</v>
      </c>
      <c r="E20" s="38">
        <v>1</v>
      </c>
      <c r="F20" s="38">
        <v>25</v>
      </c>
      <c r="G20" s="38" t="s">
        <v>147</v>
      </c>
      <c r="H20" s="25">
        <v>10</v>
      </c>
      <c r="I20" s="25" t="s">
        <v>88</v>
      </c>
      <c r="J20" s="36" t="s">
        <v>186</v>
      </c>
      <c r="K20" s="688">
        <v>162900</v>
      </c>
      <c r="L20" s="688">
        <v>12093007</v>
      </c>
      <c r="M20" s="688">
        <v>438400</v>
      </c>
      <c r="N20" s="47">
        <v>45000000</v>
      </c>
      <c r="O20" s="45">
        <v>10000000</v>
      </c>
      <c r="P20" s="45">
        <f>9000000+2749000</f>
        <v>11749000</v>
      </c>
      <c r="Q20" s="45">
        <f t="shared" si="6"/>
        <v>43251000</v>
      </c>
      <c r="R20" s="266">
        <v>500000</v>
      </c>
      <c r="S20" s="266">
        <v>500000</v>
      </c>
      <c r="T20" s="266"/>
      <c r="U20" s="266">
        <f>SUM(S20-T20)</f>
        <v>500000</v>
      </c>
      <c r="V20" s="63"/>
      <c r="W20" s="63"/>
      <c r="X20" s="256">
        <f>SUM(U20)</f>
        <v>500000</v>
      </c>
      <c r="Y20" s="268"/>
      <c r="Z20" s="63">
        <f>SUM(Q20-R20-T20-V20-W20-X20-Y20)</f>
        <v>42251000</v>
      </c>
      <c r="AA20" s="739">
        <v>43800000</v>
      </c>
      <c r="AB20" s="740">
        <v>34433840</v>
      </c>
      <c r="AC20" s="63">
        <f t="shared" si="0"/>
        <v>9366160</v>
      </c>
      <c r="AD20" s="268">
        <f t="shared" si="4"/>
        <v>7817160</v>
      </c>
      <c r="AE20" s="268"/>
      <c r="AF20" s="268">
        <f>SUM(AD20-AE20)</f>
        <v>7817160</v>
      </c>
      <c r="AG20" s="628">
        <f>SUM(R20+T20+V20+Y20+W20+AB20)</f>
        <v>34933840</v>
      </c>
      <c r="AH20" s="269">
        <f>AB20/(AB20+AE20+AF20)</f>
        <v>0.814982840642825</v>
      </c>
      <c r="AI20" s="270"/>
      <c r="AJ20" s="271"/>
      <c r="AK20" s="272" t="e">
        <f>SUM(AD20-AE20-#REF!-#REF!)</f>
        <v>#REF!</v>
      </c>
      <c r="AL20" s="273">
        <f t="shared" si="5"/>
        <v>0.80770016878222473</v>
      </c>
      <c r="AM20" s="174"/>
      <c r="AN20" s="275"/>
      <c r="AO20" s="274" t="s">
        <v>1505</v>
      </c>
      <c r="AP20" s="77"/>
      <c r="AQ20" s="177"/>
      <c r="AR20" s="262"/>
      <c r="AU20" s="263"/>
    </row>
    <row r="21" spans="1:47" s="29" customFormat="1" ht="45" customHeight="1" x14ac:dyDescent="0.35">
      <c r="A21" s="27" t="s">
        <v>100</v>
      </c>
      <c r="B21" s="38">
        <v>2</v>
      </c>
      <c r="C21" s="38">
        <v>0</v>
      </c>
      <c r="D21" s="38">
        <v>4</v>
      </c>
      <c r="E21" s="38">
        <v>1</v>
      </c>
      <c r="F21" s="38">
        <v>26</v>
      </c>
      <c r="G21" s="38" t="s">
        <v>147</v>
      </c>
      <c r="H21" s="25">
        <v>10</v>
      </c>
      <c r="I21" s="25" t="s">
        <v>88</v>
      </c>
      <c r="J21" s="36" t="s">
        <v>154</v>
      </c>
      <c r="K21" s="688">
        <v>16357798</v>
      </c>
      <c r="L21" s="688"/>
      <c r="M21" s="688"/>
      <c r="N21" s="45"/>
      <c r="O21" s="45">
        <v>2749000</v>
      </c>
      <c r="P21" s="45"/>
      <c r="Q21" s="45">
        <f t="shared" si="6"/>
        <v>2749000</v>
      </c>
      <c r="R21" s="266"/>
      <c r="S21" s="266">
        <v>0</v>
      </c>
      <c r="T21" s="266"/>
      <c r="U21" s="266">
        <f>SUM(S21-T21)</f>
        <v>0</v>
      </c>
      <c r="V21" s="63"/>
      <c r="W21" s="63"/>
      <c r="X21" s="256">
        <f>SUM(U21)</f>
        <v>0</v>
      </c>
      <c r="Y21" s="268"/>
      <c r="Z21" s="63">
        <f>SUM(Q21-R21-T21-V21-W21-X21-Y21)</f>
        <v>2749000</v>
      </c>
      <c r="AA21" s="741">
        <v>2749000</v>
      </c>
      <c r="AB21" s="740">
        <v>2749000</v>
      </c>
      <c r="AC21" s="63">
        <f t="shared" si="0"/>
        <v>0</v>
      </c>
      <c r="AD21" s="268">
        <f t="shared" si="4"/>
        <v>0</v>
      </c>
      <c r="AE21" s="268"/>
      <c r="AF21" s="268">
        <f>SUM(AD21-AE21)</f>
        <v>0</v>
      </c>
      <c r="AG21" s="628">
        <f>SUM(R21+T21+V21+Y21+W21+AB21)</f>
        <v>2749000</v>
      </c>
      <c r="AH21" s="269"/>
      <c r="AI21" s="270"/>
      <c r="AJ21" s="271"/>
      <c r="AK21" s="272" t="e">
        <f>SUM(AD21-AE21-#REF!-#REF!)</f>
        <v>#REF!</v>
      </c>
      <c r="AL21" s="273">
        <f t="shared" si="5"/>
        <v>1</v>
      </c>
      <c r="AM21" s="174"/>
      <c r="AN21" s="275"/>
      <c r="AO21" s="274"/>
      <c r="AP21" s="77"/>
      <c r="AQ21" s="177"/>
      <c r="AR21" s="276"/>
      <c r="AU21" s="263"/>
    </row>
    <row r="22" spans="1:47" s="34" customFormat="1" ht="23.45" x14ac:dyDescent="0.55000000000000004">
      <c r="A22" s="31"/>
      <c r="B22" s="32"/>
      <c r="C22" s="32"/>
      <c r="D22" s="32"/>
      <c r="E22" s="32"/>
      <c r="F22" s="32"/>
      <c r="G22" s="32"/>
      <c r="H22" s="33"/>
      <c r="I22" s="33"/>
      <c r="J22" s="35" t="s">
        <v>135</v>
      </c>
      <c r="K22" s="277">
        <f t="shared" ref="K22:P22" si="7">SUM(K18:K21)</f>
        <v>42832748</v>
      </c>
      <c r="L22" s="277">
        <f t="shared" si="7"/>
        <v>335744515</v>
      </c>
      <c r="M22" s="277">
        <f t="shared" si="7"/>
        <v>58695567</v>
      </c>
      <c r="N22" s="278">
        <f t="shared" si="7"/>
        <v>65100403</v>
      </c>
      <c r="O22" s="278">
        <f t="shared" si="7"/>
        <v>12749000</v>
      </c>
      <c r="P22" s="278">
        <f t="shared" si="7"/>
        <v>31849403</v>
      </c>
      <c r="Q22" s="278">
        <f t="shared" si="6"/>
        <v>46000000</v>
      </c>
      <c r="R22" s="49">
        <f t="shared" ref="R22:AF22" si="8">SUM(R18:R21)</f>
        <v>500000</v>
      </c>
      <c r="S22" s="49">
        <f t="shared" si="8"/>
        <v>500000</v>
      </c>
      <c r="T22" s="49">
        <f t="shared" si="8"/>
        <v>0</v>
      </c>
      <c r="U22" s="49">
        <f t="shared" si="8"/>
        <v>500000</v>
      </c>
      <c r="V22" s="39">
        <f t="shared" si="8"/>
        <v>0</v>
      </c>
      <c r="W22" s="39">
        <f t="shared" si="8"/>
        <v>0</v>
      </c>
      <c r="X22" s="279">
        <f t="shared" si="8"/>
        <v>500000</v>
      </c>
      <c r="Y22" s="39">
        <f t="shared" si="8"/>
        <v>0</v>
      </c>
      <c r="Z22" s="39">
        <f t="shared" si="8"/>
        <v>45000000</v>
      </c>
      <c r="AA22" s="39">
        <f t="shared" si="8"/>
        <v>46549000</v>
      </c>
      <c r="AB22" s="39">
        <f t="shared" si="8"/>
        <v>37182840</v>
      </c>
      <c r="AC22" s="39">
        <f t="shared" si="8"/>
        <v>9366160</v>
      </c>
      <c r="AD22" s="39">
        <f t="shared" si="8"/>
        <v>7817160</v>
      </c>
      <c r="AE22" s="39">
        <f t="shared" si="8"/>
        <v>0</v>
      </c>
      <c r="AF22" s="39">
        <f t="shared" si="8"/>
        <v>7817160</v>
      </c>
      <c r="AG22" s="280"/>
      <c r="AH22" s="281">
        <f>AB22/(AB22+AE22+AF22)</f>
        <v>0.82628533333333332</v>
      </c>
      <c r="AI22" s="282"/>
      <c r="AJ22" s="39"/>
      <c r="AK22" s="283" t="e">
        <f>SUM(AD22-AE22-#REF!-#REF!)</f>
        <v>#REF!</v>
      </c>
      <c r="AL22" s="284">
        <f t="shared" si="5"/>
        <v>0.81919217391304344</v>
      </c>
      <c r="AM22" s="206"/>
      <c r="AN22" s="285"/>
      <c r="AO22" s="286"/>
      <c r="AP22" s="287"/>
      <c r="AQ22" s="287"/>
      <c r="AR22" s="288"/>
      <c r="AU22" s="289"/>
    </row>
    <row r="23" spans="1:47" s="29" customFormat="1" ht="38.25" customHeight="1" x14ac:dyDescent="0.35">
      <c r="A23" s="27" t="s">
        <v>100</v>
      </c>
      <c r="B23" s="38">
        <v>2</v>
      </c>
      <c r="C23" s="38">
        <v>0</v>
      </c>
      <c r="D23" s="38">
        <v>4</v>
      </c>
      <c r="E23" s="38">
        <v>2</v>
      </c>
      <c r="F23" s="38">
        <v>2</v>
      </c>
      <c r="G23" s="38" t="s">
        <v>147</v>
      </c>
      <c r="H23" s="25">
        <v>10</v>
      </c>
      <c r="I23" s="25" t="s">
        <v>88</v>
      </c>
      <c r="J23" s="36" t="s">
        <v>366</v>
      </c>
      <c r="K23" s="688">
        <v>23500000</v>
      </c>
      <c r="L23" s="688"/>
      <c r="M23" s="688"/>
      <c r="N23" s="45"/>
      <c r="O23" s="45"/>
      <c r="P23" s="45"/>
      <c r="Q23" s="45">
        <f t="shared" si="6"/>
        <v>0</v>
      </c>
      <c r="R23" s="266"/>
      <c r="S23" s="266"/>
      <c r="T23" s="266"/>
      <c r="U23" s="266"/>
      <c r="V23" s="63"/>
      <c r="W23" s="63"/>
      <c r="X23" s="256">
        <f>SUM(U23)</f>
        <v>0</v>
      </c>
      <c r="Y23" s="268"/>
      <c r="Z23" s="63">
        <f>SUM(Q23-R23-T23-V23-W23-X23-Y23)</f>
        <v>0</v>
      </c>
      <c r="AA23" s="268"/>
      <c r="AB23" s="63"/>
      <c r="AC23" s="63">
        <f t="shared" si="0"/>
        <v>0</v>
      </c>
      <c r="AD23" s="268">
        <f t="shared" si="4"/>
        <v>0</v>
      </c>
      <c r="AE23" s="268"/>
      <c r="AF23" s="268">
        <f>SUM(AD23-AE23)</f>
        <v>0</v>
      </c>
      <c r="AG23" s="628">
        <f>SUM(R23+T23+V23+Y23+W23+AB23)</f>
        <v>0</v>
      </c>
      <c r="AH23" s="269"/>
      <c r="AI23" s="270"/>
      <c r="AJ23" s="271"/>
      <c r="AK23" s="272" t="e">
        <f>SUM(AD23-AE23-#REF!-#REF!)</f>
        <v>#REF!</v>
      </c>
      <c r="AL23" s="273" t="e">
        <f t="shared" si="5"/>
        <v>#DIV/0!</v>
      </c>
      <c r="AM23" s="174"/>
      <c r="AN23" s="290"/>
      <c r="AO23" s="291"/>
      <c r="AP23" s="77"/>
      <c r="AQ23" s="177">
        <f>SUM(AF23)</f>
        <v>0</v>
      </c>
      <c r="AR23" s="262"/>
      <c r="AU23" s="263"/>
    </row>
    <row r="24" spans="1:47" s="29" customFormat="1" ht="36" x14ac:dyDescent="0.35">
      <c r="A24" s="27" t="s">
        <v>100</v>
      </c>
      <c r="B24" s="38">
        <v>2</v>
      </c>
      <c r="C24" s="38">
        <v>0</v>
      </c>
      <c r="D24" s="38">
        <v>4</v>
      </c>
      <c r="E24" s="38">
        <v>2</v>
      </c>
      <c r="F24" s="38">
        <v>2</v>
      </c>
      <c r="G24" s="38" t="s">
        <v>147</v>
      </c>
      <c r="H24" s="25">
        <v>10</v>
      </c>
      <c r="I24" s="25" t="s">
        <v>88</v>
      </c>
      <c r="J24" s="36" t="s">
        <v>367</v>
      </c>
      <c r="K24" s="749">
        <v>3540146</v>
      </c>
      <c r="L24" s="749">
        <v>12221424.199999999</v>
      </c>
      <c r="M24" s="749"/>
      <c r="N24" s="45">
        <v>20000000</v>
      </c>
      <c r="O24" s="45">
        <v>9000000</v>
      </c>
      <c r="P24" s="45"/>
      <c r="Q24" s="45">
        <f t="shared" si="6"/>
        <v>29000000</v>
      </c>
      <c r="R24" s="266"/>
      <c r="S24" s="266"/>
      <c r="T24" s="266"/>
      <c r="U24" s="266"/>
      <c r="V24" s="63"/>
      <c r="W24" s="63"/>
      <c r="X24" s="256">
        <f>SUM(U24)</f>
        <v>0</v>
      </c>
      <c r="Y24" s="268"/>
      <c r="Z24" s="63">
        <f>SUM(Q24-R24-T24-V24-W24-X24-Y24)</f>
        <v>29000000</v>
      </c>
      <c r="AA24" s="741">
        <v>29000000</v>
      </c>
      <c r="AB24" s="740">
        <v>19784940</v>
      </c>
      <c r="AC24" s="63">
        <f t="shared" si="0"/>
        <v>9215060</v>
      </c>
      <c r="AD24" s="268">
        <f t="shared" si="4"/>
        <v>9215060</v>
      </c>
      <c r="AE24" s="741">
        <v>9000000</v>
      </c>
      <c r="AF24" s="268">
        <f>SUM(AD24-AE24)</f>
        <v>215060</v>
      </c>
      <c r="AG24" s="628">
        <f>SUM(R24+T24+V24+Y24+W24+AB24)</f>
        <v>19784940</v>
      </c>
      <c r="AH24" s="269"/>
      <c r="AI24" s="270"/>
      <c r="AJ24" s="271"/>
      <c r="AK24" s="272" t="e">
        <f>SUM(AD24-AE24-#REF!-#REF!)</f>
        <v>#REF!</v>
      </c>
      <c r="AL24" s="273">
        <f t="shared" si="5"/>
        <v>0.68223931034482754</v>
      </c>
      <c r="AM24" s="174"/>
      <c r="AN24" s="290"/>
      <c r="AO24" s="291"/>
      <c r="AP24" s="77"/>
      <c r="AQ24" s="177"/>
      <c r="AR24" s="262"/>
      <c r="AU24" s="263"/>
    </row>
    <row r="25" spans="1:47" s="34" customFormat="1" ht="23.45" x14ac:dyDescent="0.55000000000000004">
      <c r="A25" s="31"/>
      <c r="B25" s="32"/>
      <c r="C25" s="32"/>
      <c r="D25" s="32"/>
      <c r="E25" s="32"/>
      <c r="F25" s="32"/>
      <c r="G25" s="32"/>
      <c r="H25" s="33"/>
      <c r="I25" s="33"/>
      <c r="J25" s="35" t="s">
        <v>368</v>
      </c>
      <c r="K25" s="277">
        <f t="shared" ref="K25:Q25" si="9">SUM(K23:K24)</f>
        <v>27040146</v>
      </c>
      <c r="L25" s="277">
        <f t="shared" si="9"/>
        <v>12221424.199999999</v>
      </c>
      <c r="M25" s="277">
        <f t="shared" si="9"/>
        <v>0</v>
      </c>
      <c r="N25" s="278">
        <f t="shared" si="9"/>
        <v>20000000</v>
      </c>
      <c r="O25" s="278">
        <f t="shared" si="9"/>
        <v>9000000</v>
      </c>
      <c r="P25" s="278">
        <f t="shared" si="9"/>
        <v>0</v>
      </c>
      <c r="Q25" s="278">
        <f t="shared" si="9"/>
        <v>29000000</v>
      </c>
      <c r="R25" s="49"/>
      <c r="S25" s="49">
        <f t="shared" ref="S25:Z25" si="10">SUM(S23:S24)</f>
        <v>0</v>
      </c>
      <c r="T25" s="49">
        <f t="shared" si="10"/>
        <v>0</v>
      </c>
      <c r="U25" s="49">
        <f t="shared" si="10"/>
        <v>0</v>
      </c>
      <c r="V25" s="39">
        <f t="shared" si="10"/>
        <v>0</v>
      </c>
      <c r="W25" s="39">
        <f t="shared" si="10"/>
        <v>0</v>
      </c>
      <c r="X25" s="279">
        <f t="shared" si="10"/>
        <v>0</v>
      </c>
      <c r="Y25" s="282">
        <f t="shared" si="10"/>
        <v>0</v>
      </c>
      <c r="Z25" s="282">
        <f t="shared" si="10"/>
        <v>29000000</v>
      </c>
      <c r="AA25" s="39">
        <f>SUM(AA23:AA24)</f>
        <v>29000000</v>
      </c>
      <c r="AB25" s="39">
        <f>SUM(AB23:AB24)</f>
        <v>19784940</v>
      </c>
      <c r="AC25" s="39">
        <f t="shared" si="0"/>
        <v>9215060</v>
      </c>
      <c r="AD25" s="282">
        <f>SUM(AD23:AD24)</f>
        <v>9215060</v>
      </c>
      <c r="AE25" s="282">
        <f>SUM(AE23:AE24)</f>
        <v>9000000</v>
      </c>
      <c r="AF25" s="282">
        <f>SUM(AF23:AF24)</f>
        <v>215060</v>
      </c>
      <c r="AG25" s="280"/>
      <c r="AH25" s="292">
        <v>0</v>
      </c>
      <c r="AI25" s="282"/>
      <c r="AJ25" s="39"/>
      <c r="AK25" s="283" t="e">
        <f>SUM(AD25-AE25-#REF!-#REF!)</f>
        <v>#REF!</v>
      </c>
      <c r="AL25" s="284">
        <f t="shared" si="5"/>
        <v>0.68223931034482754</v>
      </c>
      <c r="AM25" s="206"/>
      <c r="AN25" s="285"/>
      <c r="AO25" s="286"/>
      <c r="AP25" s="287"/>
      <c r="AQ25" s="287"/>
      <c r="AR25" s="288"/>
      <c r="AU25" s="289"/>
    </row>
    <row r="26" spans="1:47" s="29" customFormat="1" ht="39.75" customHeight="1" x14ac:dyDescent="0.55000000000000004">
      <c r="A26" s="27"/>
      <c r="B26" s="800" t="s">
        <v>127</v>
      </c>
      <c r="C26" s="800"/>
      <c r="D26" s="800"/>
      <c r="E26" s="800"/>
      <c r="F26" s="800"/>
      <c r="G26" s="800"/>
      <c r="H26" s="800"/>
      <c r="I26" s="800"/>
      <c r="J26" s="800"/>
      <c r="K26" s="25"/>
      <c r="L26" s="25"/>
      <c r="M26" s="25"/>
      <c r="N26" s="50"/>
      <c r="O26" s="50"/>
      <c r="P26" s="50"/>
      <c r="Q26" s="50"/>
      <c r="R26" s="293"/>
      <c r="S26" s="293"/>
      <c r="T26" s="293"/>
      <c r="U26" s="293"/>
      <c r="V26" s="64"/>
      <c r="W26" s="64"/>
      <c r="X26" s="294"/>
      <c r="Y26" s="64"/>
      <c r="Z26" s="64"/>
      <c r="AA26" s="64"/>
      <c r="AB26" s="64"/>
      <c r="AC26" s="64"/>
      <c r="AD26" s="64"/>
      <c r="AE26" s="64"/>
      <c r="AF26" s="64"/>
      <c r="AG26" s="628"/>
      <c r="AH26" s="269"/>
      <c r="AI26" s="295"/>
      <c r="AJ26" s="271"/>
      <c r="AK26" s="272" t="e">
        <f>SUM(AD26-AE26-#REF!-#REF!)</f>
        <v>#REF!</v>
      </c>
      <c r="AL26" s="296"/>
      <c r="AM26" s="228"/>
      <c r="AN26" s="260"/>
      <c r="AO26" s="261"/>
      <c r="AP26" s="77"/>
      <c r="AQ26" s="177">
        <f t="shared" ref="AQ26" si="11">SUM(AF26)</f>
        <v>0</v>
      </c>
      <c r="AR26" s="262"/>
      <c r="AU26" s="263"/>
    </row>
    <row r="27" spans="1:47" s="301" customFormat="1" ht="69.75" x14ac:dyDescent="0.35">
      <c r="A27" s="297" t="s">
        <v>100</v>
      </c>
      <c r="B27" s="38">
        <v>2</v>
      </c>
      <c r="C27" s="38">
        <v>0</v>
      </c>
      <c r="D27" s="38">
        <v>4</v>
      </c>
      <c r="E27" s="38">
        <v>4</v>
      </c>
      <c r="F27" s="38">
        <v>1</v>
      </c>
      <c r="G27" s="38" t="s">
        <v>147</v>
      </c>
      <c r="H27" s="25">
        <v>10</v>
      </c>
      <c r="I27" s="25" t="s">
        <v>88</v>
      </c>
      <c r="J27" s="42" t="s">
        <v>369</v>
      </c>
      <c r="K27" s="749">
        <v>47820000</v>
      </c>
      <c r="L27" s="749">
        <v>33224716</v>
      </c>
      <c r="M27" s="749">
        <v>39200000</v>
      </c>
      <c r="N27" s="47">
        <v>43000000</v>
      </c>
      <c r="O27" s="45"/>
      <c r="P27" s="45"/>
      <c r="Q27" s="45">
        <f t="shared" ref="Q27:Q35" si="12">SUM(N27+O27-P27)</f>
        <v>43000000</v>
      </c>
      <c r="R27" s="266"/>
      <c r="S27" s="266"/>
      <c r="T27" s="266"/>
      <c r="U27" s="266"/>
      <c r="V27" s="63"/>
      <c r="W27" s="63"/>
      <c r="X27" s="256">
        <f t="shared" ref="X27:X35" si="13">SUM(U27)</f>
        <v>0</v>
      </c>
      <c r="Y27" s="268"/>
      <c r="Z27" s="63">
        <f t="shared" ref="Z27:Z35" si="14">SUM(Q27-R27-T27-V27-W27-X27-Y27)</f>
        <v>43000000</v>
      </c>
      <c r="AA27" s="698">
        <v>40000000</v>
      </c>
      <c r="AB27" s="298">
        <v>40000000</v>
      </c>
      <c r="AC27" s="63">
        <f t="shared" si="0"/>
        <v>0</v>
      </c>
      <c r="AD27" s="299">
        <f t="shared" si="4"/>
        <v>3000000</v>
      </c>
      <c r="AE27" s="268"/>
      <c r="AF27" s="268">
        <f t="shared" ref="AF27:AF35" si="15">SUM(AD27-AE27)</f>
        <v>3000000</v>
      </c>
      <c r="AG27" s="628">
        <f t="shared" ref="AG27:AG35" si="16">SUM(R27+T27+V27+Y27+W27+AB27)</f>
        <v>40000000</v>
      </c>
      <c r="AH27" s="269">
        <f t="shared" ref="AH27:AH33" si="17">AB27/(AB27+AE27+AF27)</f>
        <v>0.93023255813953487</v>
      </c>
      <c r="AI27" s="270"/>
      <c r="AJ27" s="271"/>
      <c r="AK27" s="272" t="e">
        <f>SUM(AD27-AE27-#REF!-#REF!)</f>
        <v>#REF!</v>
      </c>
      <c r="AL27" s="273">
        <f t="shared" ref="AL27:AL36" si="18">SUM(Q27-(AD27+X27))/Q27</f>
        <v>0.93023255813953487</v>
      </c>
      <c r="AM27" s="174"/>
      <c r="AN27" s="260"/>
      <c r="AO27" s="274" t="s">
        <v>598</v>
      </c>
      <c r="AP27" s="77"/>
      <c r="AQ27" s="177"/>
      <c r="AR27" s="300"/>
      <c r="AU27" s="302"/>
    </row>
    <row r="28" spans="1:47" s="29" customFormat="1" ht="36" x14ac:dyDescent="0.35">
      <c r="A28" s="27" t="s">
        <v>100</v>
      </c>
      <c r="B28" s="38">
        <v>2</v>
      </c>
      <c r="C28" s="38">
        <v>0</v>
      </c>
      <c r="D28" s="38">
        <v>4</v>
      </c>
      <c r="E28" s="38">
        <v>4</v>
      </c>
      <c r="F28" s="38">
        <v>2</v>
      </c>
      <c r="G28" s="38" t="s">
        <v>147</v>
      </c>
      <c r="H28" s="25">
        <v>10</v>
      </c>
      <c r="I28" s="25" t="s">
        <v>88</v>
      </c>
      <c r="J28" s="42" t="s">
        <v>370</v>
      </c>
      <c r="K28" s="749">
        <v>16709800</v>
      </c>
      <c r="L28" s="749">
        <v>20291970</v>
      </c>
      <c r="M28" s="749">
        <v>15172027</v>
      </c>
      <c r="N28" s="47">
        <v>24000000</v>
      </c>
      <c r="O28" s="45"/>
      <c r="P28" s="45"/>
      <c r="Q28" s="45">
        <f t="shared" si="12"/>
        <v>24000000</v>
      </c>
      <c r="R28" s="266"/>
      <c r="S28" s="266"/>
      <c r="T28" s="266"/>
      <c r="U28" s="266"/>
      <c r="V28" s="63"/>
      <c r="W28" s="63"/>
      <c r="X28" s="256">
        <f t="shared" si="13"/>
        <v>0</v>
      </c>
      <c r="Y28" s="303"/>
      <c r="Z28" s="63">
        <f t="shared" si="14"/>
        <v>24000000</v>
      </c>
      <c r="AA28" s="740">
        <v>24168611.699999999</v>
      </c>
      <c r="AB28" s="740">
        <v>14721054.300000001</v>
      </c>
      <c r="AC28" s="63">
        <f t="shared" si="0"/>
        <v>9447557.3999999985</v>
      </c>
      <c r="AD28" s="268">
        <f t="shared" si="4"/>
        <v>9278945.6999999993</v>
      </c>
      <c r="AE28" s="256">
        <v>9278945.6999999993</v>
      </c>
      <c r="AF28" s="268">
        <f t="shared" si="15"/>
        <v>0</v>
      </c>
      <c r="AG28" s="628">
        <f t="shared" si="16"/>
        <v>14721054.300000001</v>
      </c>
      <c r="AH28" s="269">
        <f t="shared" si="17"/>
        <v>0.61337726250000002</v>
      </c>
      <c r="AI28" s="270"/>
      <c r="AJ28" s="271"/>
      <c r="AK28" s="272" t="e">
        <f>SUM(AD28-AE28-#REF!-#REF!)</f>
        <v>#REF!</v>
      </c>
      <c r="AL28" s="273">
        <f t="shared" si="18"/>
        <v>0.61337726250000002</v>
      </c>
      <c r="AM28" s="174"/>
      <c r="AN28" s="275"/>
      <c r="AO28" s="274"/>
      <c r="AP28" s="77"/>
      <c r="AQ28" s="177"/>
      <c r="AR28" s="304"/>
      <c r="AS28" s="304"/>
      <c r="AT28" s="304"/>
      <c r="AU28" s="263"/>
    </row>
    <row r="29" spans="1:47" s="29" customFormat="1" ht="107.45" customHeight="1" x14ac:dyDescent="0.35">
      <c r="A29" s="27" t="s">
        <v>100</v>
      </c>
      <c r="B29" s="38">
        <v>2</v>
      </c>
      <c r="C29" s="38">
        <v>0</v>
      </c>
      <c r="D29" s="38">
        <v>4</v>
      </c>
      <c r="E29" s="38">
        <v>4</v>
      </c>
      <c r="F29" s="38">
        <v>6</v>
      </c>
      <c r="G29" s="38" t="s">
        <v>147</v>
      </c>
      <c r="H29" s="25">
        <v>10</v>
      </c>
      <c r="I29" s="25" t="s">
        <v>88</v>
      </c>
      <c r="J29" s="42" t="s">
        <v>371</v>
      </c>
      <c r="K29" s="749">
        <v>0</v>
      </c>
      <c r="L29" s="749">
        <v>2504440</v>
      </c>
      <c r="M29" s="749"/>
      <c r="N29" s="47">
        <v>8000000</v>
      </c>
      <c r="O29" s="45"/>
      <c r="P29" s="45"/>
      <c r="Q29" s="45">
        <f t="shared" si="12"/>
        <v>8000000</v>
      </c>
      <c r="R29" s="45"/>
      <c r="S29" s="45"/>
      <c r="T29" s="45"/>
      <c r="U29" s="45"/>
      <c r="V29" s="63"/>
      <c r="W29" s="63"/>
      <c r="X29" s="256">
        <f t="shared" si="13"/>
        <v>0</v>
      </c>
      <c r="Y29" s="268"/>
      <c r="Z29" s="63">
        <f t="shared" si="14"/>
        <v>8000000</v>
      </c>
      <c r="AA29" s="740">
        <v>4000000</v>
      </c>
      <c r="AB29" s="63"/>
      <c r="AC29" s="63">
        <f t="shared" si="0"/>
        <v>4000000</v>
      </c>
      <c r="AD29" s="268">
        <f>SUM(Z29-AB29)</f>
        <v>8000000</v>
      </c>
      <c r="AE29" s="268">
        <v>4000000</v>
      </c>
      <c r="AF29" s="268">
        <f t="shared" si="15"/>
        <v>4000000</v>
      </c>
      <c r="AG29" s="628">
        <f t="shared" si="16"/>
        <v>0</v>
      </c>
      <c r="AH29" s="269">
        <f t="shared" si="17"/>
        <v>0</v>
      </c>
      <c r="AI29" s="270"/>
      <c r="AJ29" s="271"/>
      <c r="AK29" s="272" t="e">
        <f>SUM(AD29-AE29-#REF!-#REF!)</f>
        <v>#REF!</v>
      </c>
      <c r="AL29" s="273">
        <f t="shared" si="18"/>
        <v>0</v>
      </c>
      <c r="AM29" s="174"/>
      <c r="AN29" s="275" t="s">
        <v>372</v>
      </c>
      <c r="AO29" s="274" t="s">
        <v>1506</v>
      </c>
      <c r="AP29" s="77"/>
      <c r="AQ29" s="177"/>
      <c r="AR29" s="262"/>
      <c r="AT29" s="305"/>
      <c r="AU29" s="263"/>
    </row>
    <row r="30" spans="1:47" s="29" customFormat="1" ht="46.5" x14ac:dyDescent="0.35">
      <c r="A30" s="27" t="s">
        <v>100</v>
      </c>
      <c r="B30" s="38">
        <v>2</v>
      </c>
      <c r="C30" s="38">
        <v>0</v>
      </c>
      <c r="D30" s="38">
        <v>4</v>
      </c>
      <c r="E30" s="38">
        <v>4</v>
      </c>
      <c r="F30" s="38">
        <v>15</v>
      </c>
      <c r="G30" s="38" t="s">
        <v>147</v>
      </c>
      <c r="H30" s="25">
        <v>10</v>
      </c>
      <c r="I30" s="25" t="s">
        <v>88</v>
      </c>
      <c r="J30" s="42" t="s">
        <v>155</v>
      </c>
      <c r="K30" s="749">
        <v>81595684</v>
      </c>
      <c r="L30" s="749">
        <v>53324791</v>
      </c>
      <c r="M30" s="749">
        <v>41517993</v>
      </c>
      <c r="N30" s="47">
        <v>182000000</v>
      </c>
      <c r="O30" s="45"/>
      <c r="P30" s="45">
        <f>16000000+8673958+600000</f>
        <v>25273958</v>
      </c>
      <c r="Q30" s="45">
        <f>SUM(N30+O30-P30)</f>
        <v>156726042</v>
      </c>
      <c r="R30" s="266"/>
      <c r="S30" s="266">
        <v>1900000</v>
      </c>
      <c r="T30" s="306">
        <f>128831+22550+4500+26700</f>
        <v>182581</v>
      </c>
      <c r="U30" s="266">
        <f>SUM(S30-T30)</f>
        <v>1717419</v>
      </c>
      <c r="V30" s="63"/>
      <c r="W30" s="63"/>
      <c r="X30" s="256">
        <f t="shared" si="13"/>
        <v>1717419</v>
      </c>
      <c r="Y30" s="307"/>
      <c r="Z30" s="63">
        <f t="shared" si="14"/>
        <v>154826042</v>
      </c>
      <c r="AA30" s="63">
        <v>147887500</v>
      </c>
      <c r="AB30" s="773">
        <v>122368121.02</v>
      </c>
      <c r="AC30" s="63">
        <f t="shared" si="0"/>
        <v>25519378.980000004</v>
      </c>
      <c r="AD30" s="268">
        <f t="shared" si="4"/>
        <v>32457920.980000004</v>
      </c>
      <c r="AE30" s="268">
        <v>2100000</v>
      </c>
      <c r="AF30" s="268">
        <f t="shared" si="15"/>
        <v>30357920.980000004</v>
      </c>
      <c r="AG30" s="628">
        <f t="shared" si="16"/>
        <v>122550702.02</v>
      </c>
      <c r="AH30" s="269">
        <f t="shared" si="17"/>
        <v>0.79035877581886382</v>
      </c>
      <c r="AI30" s="270"/>
      <c r="AJ30" s="271"/>
      <c r="AK30" s="272" t="e">
        <f>SUM(AD30-AE30-#REF!-#REF!)</f>
        <v>#REF!</v>
      </c>
      <c r="AL30" s="273">
        <f t="shared" si="18"/>
        <v>0.7819421741027569</v>
      </c>
      <c r="AM30" s="174"/>
      <c r="AN30" s="275" t="s">
        <v>373</v>
      </c>
      <c r="AO30" s="274" t="s">
        <v>1758</v>
      </c>
      <c r="AP30" s="308"/>
      <c r="AQ30" s="177"/>
      <c r="AR30" s="262"/>
      <c r="AS30" s="309"/>
      <c r="AT30" s="305"/>
      <c r="AU30" s="263"/>
    </row>
    <row r="31" spans="1:47" s="29" customFormat="1" ht="36" x14ac:dyDescent="0.35">
      <c r="A31" s="27" t="s">
        <v>100</v>
      </c>
      <c r="B31" s="38">
        <v>2</v>
      </c>
      <c r="C31" s="38">
        <v>0</v>
      </c>
      <c r="D31" s="38">
        <v>4</v>
      </c>
      <c r="E31" s="38">
        <v>4</v>
      </c>
      <c r="F31" s="38">
        <v>17</v>
      </c>
      <c r="G31" s="38" t="s">
        <v>147</v>
      </c>
      <c r="H31" s="25">
        <v>10</v>
      </c>
      <c r="I31" s="25" t="s">
        <v>88</v>
      </c>
      <c r="J31" s="42" t="s">
        <v>128</v>
      </c>
      <c r="K31" s="749">
        <v>5851314</v>
      </c>
      <c r="L31" s="749">
        <v>19552811.359999999</v>
      </c>
      <c r="M31" s="749"/>
      <c r="N31" s="45">
        <v>400000</v>
      </c>
      <c r="O31" s="45">
        <v>600000</v>
      </c>
      <c r="P31" s="45"/>
      <c r="Q31" s="45">
        <f t="shared" si="12"/>
        <v>1000000</v>
      </c>
      <c r="R31" s="266"/>
      <c r="S31" s="266">
        <v>400000</v>
      </c>
      <c r="T31" s="306">
        <f>71434+62100+59000+59400</f>
        <v>251934</v>
      </c>
      <c r="U31" s="266">
        <f t="shared" ref="U31:U35" si="19">SUM(S31-T31)</f>
        <v>148066</v>
      </c>
      <c r="V31" s="63"/>
      <c r="W31" s="63"/>
      <c r="X31" s="256">
        <f t="shared" si="13"/>
        <v>148066</v>
      </c>
      <c r="Y31" s="268"/>
      <c r="Z31" s="63">
        <f t="shared" si="14"/>
        <v>600000</v>
      </c>
      <c r="AA31" s="740">
        <v>600000</v>
      </c>
      <c r="AB31" s="740">
        <v>593300</v>
      </c>
      <c r="AC31" s="63">
        <f t="shared" si="0"/>
        <v>6700</v>
      </c>
      <c r="AD31" s="268">
        <f t="shared" si="4"/>
        <v>6700</v>
      </c>
      <c r="AE31" s="268"/>
      <c r="AF31" s="268">
        <f t="shared" si="15"/>
        <v>6700</v>
      </c>
      <c r="AG31" s="628">
        <f t="shared" si="16"/>
        <v>845234</v>
      </c>
      <c r="AH31" s="269">
        <f t="shared" si="17"/>
        <v>0.98883333333333334</v>
      </c>
      <c r="AI31" s="270"/>
      <c r="AJ31" s="271"/>
      <c r="AK31" s="272" t="e">
        <f>SUM(AD31-AE31-#REF!-#REF!)</f>
        <v>#REF!</v>
      </c>
      <c r="AL31" s="273">
        <f t="shared" si="18"/>
        <v>0.84523400000000004</v>
      </c>
      <c r="AM31" s="174"/>
      <c r="AN31" s="260"/>
      <c r="AO31" s="274"/>
      <c r="AP31" s="77"/>
      <c r="AQ31" s="177"/>
      <c r="AR31" s="262"/>
      <c r="AT31" s="305"/>
      <c r="AU31" s="263"/>
    </row>
    <row r="32" spans="1:47" s="29" customFormat="1" ht="51.75" customHeight="1" x14ac:dyDescent="0.35">
      <c r="A32" s="27" t="s">
        <v>100</v>
      </c>
      <c r="B32" s="38">
        <v>2</v>
      </c>
      <c r="C32" s="38">
        <v>0</v>
      </c>
      <c r="D32" s="38">
        <v>4</v>
      </c>
      <c r="E32" s="38">
        <v>4</v>
      </c>
      <c r="F32" s="38">
        <v>18</v>
      </c>
      <c r="G32" s="38" t="s">
        <v>147</v>
      </c>
      <c r="H32" s="25">
        <v>10</v>
      </c>
      <c r="I32" s="25" t="s">
        <v>88</v>
      </c>
      <c r="J32" s="42" t="s">
        <v>129</v>
      </c>
      <c r="K32" s="688">
        <v>21568574.789999999</v>
      </c>
      <c r="L32" s="688">
        <v>30327391.84</v>
      </c>
      <c r="M32" s="688"/>
      <c r="N32" s="45">
        <v>18800000</v>
      </c>
      <c r="O32" s="45"/>
      <c r="P32" s="45"/>
      <c r="Q32" s="45">
        <f t="shared" si="12"/>
        <v>18800000</v>
      </c>
      <c r="R32" s="266"/>
      <c r="S32" s="266">
        <v>18800000</v>
      </c>
      <c r="T32" s="306">
        <f>1271452+2237690+2059244+878480+829050+1578028</f>
        <v>8853944</v>
      </c>
      <c r="U32" s="266">
        <f t="shared" si="19"/>
        <v>9946056</v>
      </c>
      <c r="V32" s="63"/>
      <c r="W32" s="63"/>
      <c r="X32" s="256">
        <f t="shared" si="13"/>
        <v>9946056</v>
      </c>
      <c r="Y32" s="268"/>
      <c r="Z32" s="63">
        <f t="shared" si="14"/>
        <v>0</v>
      </c>
      <c r="AA32" s="63"/>
      <c r="AB32" s="63"/>
      <c r="AC32" s="63">
        <f t="shared" si="0"/>
        <v>0</v>
      </c>
      <c r="AD32" s="268">
        <f t="shared" si="4"/>
        <v>0</v>
      </c>
      <c r="AE32" s="268"/>
      <c r="AF32" s="268">
        <f t="shared" si="15"/>
        <v>0</v>
      </c>
      <c r="AG32" s="628">
        <f>SUM(R32+T32+V32+Y32+W32+AB32)</f>
        <v>8853944</v>
      </c>
      <c r="AH32" s="269" t="e">
        <f t="shared" si="17"/>
        <v>#DIV/0!</v>
      </c>
      <c r="AI32" s="270"/>
      <c r="AJ32" s="271"/>
      <c r="AK32" s="272" t="e">
        <f>SUM(AD32-AE32-#REF!-#REF!)</f>
        <v>#REF!</v>
      </c>
      <c r="AL32" s="273">
        <f t="shared" si="18"/>
        <v>0.47095446808510638</v>
      </c>
      <c r="AM32" s="174"/>
      <c r="AN32" s="260" t="s">
        <v>374</v>
      </c>
      <c r="AO32" s="274"/>
      <c r="AP32" s="77"/>
      <c r="AQ32" s="177">
        <f t="shared" ref="AQ32:AQ34" si="20">SUM(AF32)</f>
        <v>0</v>
      </c>
      <c r="AR32" s="262"/>
      <c r="AT32" s="305"/>
      <c r="AU32" s="263"/>
    </row>
    <row r="33" spans="1:47" s="28" customFormat="1" ht="112.15" customHeight="1" x14ac:dyDescent="0.35">
      <c r="A33" s="27">
        <v>0</v>
      </c>
      <c r="B33" s="38">
        <v>2</v>
      </c>
      <c r="C33" s="38">
        <v>0</v>
      </c>
      <c r="D33" s="38">
        <v>4</v>
      </c>
      <c r="E33" s="38">
        <v>4</v>
      </c>
      <c r="F33" s="38">
        <v>20</v>
      </c>
      <c r="G33" s="38" t="s">
        <v>147</v>
      </c>
      <c r="H33" s="25">
        <v>10</v>
      </c>
      <c r="I33" s="25" t="s">
        <v>88</v>
      </c>
      <c r="J33" s="42" t="s">
        <v>176</v>
      </c>
      <c r="K33" s="310">
        <v>30837092</v>
      </c>
      <c r="L33" s="310">
        <v>31584291</v>
      </c>
      <c r="M33" s="310">
        <v>35972143</v>
      </c>
      <c r="N33" s="45">
        <v>30000000</v>
      </c>
      <c r="O33" s="45">
        <v>8673958</v>
      </c>
      <c r="P33" s="45"/>
      <c r="Q33" s="45">
        <f t="shared" si="12"/>
        <v>38673958</v>
      </c>
      <c r="R33" s="266"/>
      <c r="S33" s="266">
        <v>1000000</v>
      </c>
      <c r="T33" s="306">
        <f>601250+28300+185640</f>
        <v>815190</v>
      </c>
      <c r="U33" s="266">
        <f t="shared" si="19"/>
        <v>184810</v>
      </c>
      <c r="V33" s="63"/>
      <c r="W33" s="66">
        <v>10728708</v>
      </c>
      <c r="X33" s="256">
        <f t="shared" si="13"/>
        <v>184810</v>
      </c>
      <c r="Y33" s="268"/>
      <c r="Z33" s="63">
        <f t="shared" si="14"/>
        <v>26945250</v>
      </c>
      <c r="AA33" s="739">
        <v>27000000</v>
      </c>
      <c r="AB33" s="740">
        <v>11615250</v>
      </c>
      <c r="AC33" s="63">
        <f t="shared" si="0"/>
        <v>15384750</v>
      </c>
      <c r="AD33" s="268">
        <f t="shared" si="4"/>
        <v>15330000</v>
      </c>
      <c r="AE33" s="268">
        <v>12000000</v>
      </c>
      <c r="AF33" s="713">
        <f t="shared" si="15"/>
        <v>3330000</v>
      </c>
      <c r="AG33" s="628">
        <f t="shared" si="16"/>
        <v>23159148</v>
      </c>
      <c r="AH33" s="269">
        <f t="shared" si="17"/>
        <v>0.43106855568235591</v>
      </c>
      <c r="AI33" s="270"/>
      <c r="AJ33" s="271"/>
      <c r="AK33" s="272" t="e">
        <f>SUM(AD33-AE33-#REF!-#REF!)</f>
        <v>#REF!</v>
      </c>
      <c r="AL33" s="273">
        <f t="shared" si="18"/>
        <v>0.59883056189904327</v>
      </c>
      <c r="AM33" s="174"/>
      <c r="AN33" s="275" t="s">
        <v>433</v>
      </c>
      <c r="AO33" s="274" t="s">
        <v>1496</v>
      </c>
      <c r="AP33" s="77"/>
      <c r="AQ33" s="177"/>
      <c r="AR33" s="124"/>
      <c r="AT33" s="305"/>
      <c r="AU33" s="125"/>
    </row>
    <row r="34" spans="1:47" s="28" customFormat="1" ht="36" x14ac:dyDescent="0.35">
      <c r="A34" s="27" t="s">
        <v>100</v>
      </c>
      <c r="B34" s="38">
        <v>2</v>
      </c>
      <c r="C34" s="38">
        <v>0</v>
      </c>
      <c r="D34" s="38">
        <v>4</v>
      </c>
      <c r="E34" s="38">
        <v>4</v>
      </c>
      <c r="F34" s="38">
        <v>21</v>
      </c>
      <c r="G34" s="38" t="s">
        <v>147</v>
      </c>
      <c r="H34" s="25">
        <v>10</v>
      </c>
      <c r="I34" s="25" t="s">
        <v>88</v>
      </c>
      <c r="J34" s="36" t="s">
        <v>151</v>
      </c>
      <c r="K34" s="688">
        <v>471340</v>
      </c>
      <c r="L34" s="688">
        <v>169190</v>
      </c>
      <c r="M34" s="688"/>
      <c r="N34" s="45"/>
      <c r="O34" s="45"/>
      <c r="P34" s="45"/>
      <c r="Q34" s="45">
        <f t="shared" si="12"/>
        <v>0</v>
      </c>
      <c r="R34" s="266"/>
      <c r="S34" s="266">
        <v>0</v>
      </c>
      <c r="T34" s="266"/>
      <c r="U34" s="266">
        <f t="shared" si="19"/>
        <v>0</v>
      </c>
      <c r="V34" s="63"/>
      <c r="W34" s="63"/>
      <c r="X34" s="256">
        <f t="shared" si="13"/>
        <v>0</v>
      </c>
      <c r="Y34" s="268"/>
      <c r="Z34" s="63">
        <f t="shared" si="14"/>
        <v>0</v>
      </c>
      <c r="AA34" s="63"/>
      <c r="AB34" s="63"/>
      <c r="AC34" s="63">
        <f t="shared" si="0"/>
        <v>0</v>
      </c>
      <c r="AD34" s="268">
        <f t="shared" si="4"/>
        <v>0</v>
      </c>
      <c r="AE34" s="268"/>
      <c r="AF34" s="268">
        <f t="shared" si="15"/>
        <v>0</v>
      </c>
      <c r="AG34" s="628">
        <f t="shared" si="16"/>
        <v>0</v>
      </c>
      <c r="AH34" s="269"/>
      <c r="AI34" s="270"/>
      <c r="AJ34" s="271"/>
      <c r="AK34" s="272" t="e">
        <f>SUM(AD34-AE34-#REF!-#REF!)</f>
        <v>#REF!</v>
      </c>
      <c r="AL34" s="273" t="e">
        <f t="shared" si="18"/>
        <v>#DIV/0!</v>
      </c>
      <c r="AM34" s="174"/>
      <c r="AN34" s="260"/>
      <c r="AO34" s="274"/>
      <c r="AP34" s="77"/>
      <c r="AQ34" s="177">
        <f t="shared" si="20"/>
        <v>0</v>
      </c>
      <c r="AR34" s="124"/>
      <c r="AT34" s="305"/>
      <c r="AU34" s="125"/>
    </row>
    <row r="35" spans="1:47" s="28" customFormat="1" ht="36" x14ac:dyDescent="0.35">
      <c r="A35" s="27" t="s">
        <v>100</v>
      </c>
      <c r="B35" s="38">
        <v>2</v>
      </c>
      <c r="C35" s="38">
        <v>0</v>
      </c>
      <c r="D35" s="38">
        <v>4</v>
      </c>
      <c r="E35" s="38">
        <v>4</v>
      </c>
      <c r="F35" s="38">
        <v>23</v>
      </c>
      <c r="G35" s="38" t="s">
        <v>147</v>
      </c>
      <c r="H35" s="25">
        <v>10</v>
      </c>
      <c r="I35" s="25" t="s">
        <v>88</v>
      </c>
      <c r="J35" s="36" t="s">
        <v>130</v>
      </c>
      <c r="K35" s="688">
        <v>6562350</v>
      </c>
      <c r="L35" s="688">
        <v>3699162</v>
      </c>
      <c r="M35" s="688">
        <v>23036241</v>
      </c>
      <c r="N35" s="45">
        <v>5000000</v>
      </c>
      <c r="O35" s="45"/>
      <c r="P35" s="45"/>
      <c r="Q35" s="45">
        <f t="shared" si="12"/>
        <v>5000000</v>
      </c>
      <c r="R35" s="266">
        <v>4000000</v>
      </c>
      <c r="S35" s="266">
        <v>0</v>
      </c>
      <c r="T35" s="266"/>
      <c r="U35" s="266">
        <f t="shared" si="19"/>
        <v>0</v>
      </c>
      <c r="V35" s="63"/>
      <c r="W35" s="63"/>
      <c r="X35" s="256">
        <f t="shared" si="13"/>
        <v>0</v>
      </c>
      <c r="Y35" s="268"/>
      <c r="Z35" s="63">
        <f t="shared" si="14"/>
        <v>1000000</v>
      </c>
      <c r="AA35" s="63">
        <v>0</v>
      </c>
      <c r="AB35" s="63"/>
      <c r="AC35" s="63">
        <f t="shared" si="0"/>
        <v>0</v>
      </c>
      <c r="AD35" s="268">
        <f t="shared" si="4"/>
        <v>1000000</v>
      </c>
      <c r="AE35" s="268"/>
      <c r="AF35" s="268">
        <f t="shared" si="15"/>
        <v>1000000</v>
      </c>
      <c r="AG35" s="628">
        <f t="shared" si="16"/>
        <v>4000000</v>
      </c>
      <c r="AH35" s="269"/>
      <c r="AI35" s="270"/>
      <c r="AJ35" s="271"/>
      <c r="AK35" s="272" t="e">
        <f>SUM(AD35-AE35-#REF!-#REF!)</f>
        <v>#REF!</v>
      </c>
      <c r="AL35" s="273">
        <f t="shared" si="18"/>
        <v>0.8</v>
      </c>
      <c r="AM35" s="174"/>
      <c r="AN35" s="260"/>
      <c r="AO35" s="274" t="s">
        <v>1507</v>
      </c>
      <c r="AP35" s="77"/>
      <c r="AQ35" s="177"/>
      <c r="AR35" s="124"/>
      <c r="AT35" s="305"/>
      <c r="AU35" s="125"/>
    </row>
    <row r="36" spans="1:47" s="34" customFormat="1" x14ac:dyDescent="0.35">
      <c r="A36" s="31"/>
      <c r="B36" s="32"/>
      <c r="C36" s="32"/>
      <c r="D36" s="32"/>
      <c r="E36" s="32"/>
      <c r="F36" s="32"/>
      <c r="G36" s="32"/>
      <c r="H36" s="33"/>
      <c r="I36" s="33"/>
      <c r="J36" s="35" t="s">
        <v>131</v>
      </c>
      <c r="K36" s="277">
        <f t="shared" ref="K36:W36" si="21">SUM(K27:K35)</f>
        <v>211416154.78999999</v>
      </c>
      <c r="L36" s="277">
        <f t="shared" si="21"/>
        <v>194678763.19999999</v>
      </c>
      <c r="M36" s="277">
        <f t="shared" si="21"/>
        <v>154898404</v>
      </c>
      <c r="N36" s="278">
        <f t="shared" ref="N36:S36" si="22">SUM(N27:N35)</f>
        <v>311200000</v>
      </c>
      <c r="O36" s="278">
        <f t="shared" si="22"/>
        <v>9273958</v>
      </c>
      <c r="P36" s="278">
        <f t="shared" si="22"/>
        <v>25273958</v>
      </c>
      <c r="Q36" s="278">
        <f t="shared" si="22"/>
        <v>295200000</v>
      </c>
      <c r="R36" s="49">
        <f t="shared" si="22"/>
        <v>4000000</v>
      </c>
      <c r="S36" s="49">
        <f t="shared" si="22"/>
        <v>22100000</v>
      </c>
      <c r="T36" s="49">
        <f>SUM(T27:T35)</f>
        <v>10103649</v>
      </c>
      <c r="U36" s="49">
        <f t="shared" si="21"/>
        <v>11996351</v>
      </c>
      <c r="V36" s="39">
        <f t="shared" si="21"/>
        <v>0</v>
      </c>
      <c r="W36" s="39">
        <f t="shared" si="21"/>
        <v>10728708</v>
      </c>
      <c r="X36" s="256">
        <f t="shared" ref="X36:AF36" si="23">SUM(X27:X35)</f>
        <v>11996351</v>
      </c>
      <c r="Y36" s="282">
        <f t="shared" si="23"/>
        <v>0</v>
      </c>
      <c r="Z36" s="39">
        <f t="shared" si="23"/>
        <v>258371292</v>
      </c>
      <c r="AA36" s="39">
        <f>SUM(AA27:AA35)</f>
        <v>243656111.69999999</v>
      </c>
      <c r="AB36" s="39">
        <f t="shared" si="23"/>
        <v>189297725.31999999</v>
      </c>
      <c r="AC36" s="39">
        <f t="shared" si="23"/>
        <v>54358386.380000003</v>
      </c>
      <c r="AD36" s="282">
        <f t="shared" si="23"/>
        <v>69073566.680000007</v>
      </c>
      <c r="AE36" s="282">
        <f>SUM(AE27:AE35)</f>
        <v>27378945.699999999</v>
      </c>
      <c r="AF36" s="282">
        <f t="shared" si="23"/>
        <v>41694620.980000004</v>
      </c>
      <c r="AG36" s="280"/>
      <c r="AH36" s="311">
        <f>SUM(AB36/Z36)</f>
        <v>0.73265773397146616</v>
      </c>
      <c r="AI36" s="282"/>
      <c r="AJ36" s="282">
        <f>SUM(AJ27:AJ35)</f>
        <v>0</v>
      </c>
      <c r="AK36" s="283" t="e">
        <f>SUM(AD36-AE36-#REF!-#REF!)</f>
        <v>#REF!</v>
      </c>
      <c r="AL36" s="284">
        <f t="shared" si="18"/>
        <v>0.72537290758807582</v>
      </c>
      <c r="AM36" s="312"/>
      <c r="AN36" s="285"/>
      <c r="AO36" s="286"/>
      <c r="AP36" s="287"/>
      <c r="AQ36" s="287"/>
      <c r="AR36" s="288"/>
      <c r="AU36" s="289"/>
    </row>
    <row r="37" spans="1:47" s="28" customFormat="1" ht="45" customHeight="1" x14ac:dyDescent="0.35">
      <c r="A37" s="27"/>
      <c r="B37" s="800" t="s">
        <v>132</v>
      </c>
      <c r="C37" s="800"/>
      <c r="D37" s="800"/>
      <c r="E37" s="800"/>
      <c r="F37" s="800"/>
      <c r="G37" s="800"/>
      <c r="H37" s="800"/>
      <c r="I37" s="800"/>
      <c r="J37" s="800"/>
      <c r="K37" s="25"/>
      <c r="L37" s="25"/>
      <c r="M37" s="25"/>
      <c r="N37" s="50"/>
      <c r="O37" s="50"/>
      <c r="P37" s="50"/>
      <c r="Q37" s="50"/>
      <c r="R37" s="50"/>
      <c r="S37" s="50"/>
      <c r="T37" s="50"/>
      <c r="U37" s="50"/>
      <c r="V37" s="64"/>
      <c r="W37" s="64"/>
      <c r="X37" s="294"/>
      <c r="Y37" s="64"/>
      <c r="Z37" s="64"/>
      <c r="AA37" s="64"/>
      <c r="AB37" s="64"/>
      <c r="AC37" s="64"/>
      <c r="AD37" s="64"/>
      <c r="AE37" s="64"/>
      <c r="AF37" s="64"/>
      <c r="AG37" s="629"/>
      <c r="AH37" s="269"/>
      <c r="AI37" s="313"/>
      <c r="AJ37" s="271"/>
      <c r="AK37" s="272" t="e">
        <f>SUM(AD37-AE37-#REF!-#REF!)</f>
        <v>#REF!</v>
      </c>
      <c r="AL37" s="314"/>
      <c r="AM37" s="228"/>
      <c r="AN37" s="260"/>
      <c r="AO37" s="261"/>
      <c r="AP37" s="77"/>
      <c r="AQ37" s="77"/>
      <c r="AR37" s="315"/>
      <c r="AU37" s="125"/>
    </row>
    <row r="38" spans="1:47" s="28" customFormat="1" ht="46.5" x14ac:dyDescent="0.35">
      <c r="A38" s="27" t="s">
        <v>100</v>
      </c>
      <c r="B38" s="38">
        <v>2</v>
      </c>
      <c r="C38" s="38">
        <v>0</v>
      </c>
      <c r="D38" s="38">
        <v>4</v>
      </c>
      <c r="E38" s="38">
        <v>5</v>
      </c>
      <c r="F38" s="38">
        <v>1</v>
      </c>
      <c r="G38" s="38" t="s">
        <v>147</v>
      </c>
      <c r="H38" s="25">
        <v>10</v>
      </c>
      <c r="I38" s="25" t="s">
        <v>88</v>
      </c>
      <c r="J38" s="42" t="s">
        <v>375</v>
      </c>
      <c r="K38" s="749">
        <v>6719205</v>
      </c>
      <c r="L38" s="749">
        <v>19966682</v>
      </c>
      <c r="M38" s="749">
        <v>6801902</v>
      </c>
      <c r="N38" s="45">
        <v>110520000</v>
      </c>
      <c r="O38" s="45"/>
      <c r="P38" s="45">
        <v>63400979</v>
      </c>
      <c r="Q38" s="45">
        <f t="shared" ref="Q38:Q44" si="24">SUM(N38+O38-P38)</f>
        <v>47119021</v>
      </c>
      <c r="R38" s="266"/>
      <c r="S38" s="266">
        <v>2500000</v>
      </c>
      <c r="T38" s="306">
        <f>350000+190020+140000+148000+341000+115000</f>
        <v>1284020</v>
      </c>
      <c r="U38" s="266">
        <f t="shared" ref="U38:U44" si="25">SUM(S38-T38)</f>
        <v>1215980</v>
      </c>
      <c r="V38" s="63"/>
      <c r="W38" s="63"/>
      <c r="X38" s="256">
        <f t="shared" ref="X38:X44" si="26">SUM(U38)</f>
        <v>1215980</v>
      </c>
      <c r="Y38" s="268"/>
      <c r="Z38" s="63">
        <f t="shared" ref="Z38:Z44" si="27">SUM(Q38-R38-T38-V38-W38-X38-Y38)</f>
        <v>44619021</v>
      </c>
      <c r="AA38" s="740">
        <v>49000000</v>
      </c>
      <c r="AB38" s="742">
        <v>17860000</v>
      </c>
      <c r="AC38" s="63">
        <f t="shared" si="0"/>
        <v>31140000</v>
      </c>
      <c r="AD38" s="268">
        <f t="shared" si="4"/>
        <v>26759021</v>
      </c>
      <c r="AE38" s="256">
        <v>21000000</v>
      </c>
      <c r="AF38" s="268">
        <f t="shared" ref="AF38:AF44" si="28">SUM(AD38-AE38)</f>
        <v>5759021</v>
      </c>
      <c r="AG38" s="628">
        <f t="shared" ref="AG38:AG44" si="29">SUM(R38+T38+V38+Y38+W38+AB38)</f>
        <v>19144020</v>
      </c>
      <c r="AH38" s="269">
        <f t="shared" ref="AH38:AH43" si="30">AB38/(AB38+AE38+AF38)</f>
        <v>0.40027772012299417</v>
      </c>
      <c r="AI38" s="270"/>
      <c r="AJ38" s="271"/>
      <c r="AK38" s="272" t="e">
        <f>SUM(AD38-AE38-#REF!-#REF!)</f>
        <v>#REF!</v>
      </c>
      <c r="AL38" s="273">
        <f t="shared" ref="AL38:AL44" si="31">SUM(Q38-(AD38+X38))/Q38</f>
        <v>0.40629069946083984</v>
      </c>
      <c r="AM38" s="174"/>
      <c r="AN38" s="275"/>
      <c r="AO38" s="274" t="s">
        <v>1508</v>
      </c>
      <c r="AP38" s="77"/>
      <c r="AQ38" s="177"/>
      <c r="AR38" s="315"/>
      <c r="AS38" s="316"/>
      <c r="AU38" s="317"/>
    </row>
    <row r="39" spans="1:47" s="28" customFormat="1" ht="46.5" x14ac:dyDescent="0.35">
      <c r="A39" s="27" t="s">
        <v>100</v>
      </c>
      <c r="B39" s="38">
        <v>2</v>
      </c>
      <c r="C39" s="38">
        <v>0</v>
      </c>
      <c r="D39" s="38">
        <v>4</v>
      </c>
      <c r="E39" s="38">
        <v>5</v>
      </c>
      <c r="F39" s="38">
        <v>2</v>
      </c>
      <c r="G39" s="38" t="s">
        <v>147</v>
      </c>
      <c r="H39" s="25">
        <v>10</v>
      </c>
      <c r="I39" s="25" t="s">
        <v>88</v>
      </c>
      <c r="J39" s="42" t="s">
        <v>185</v>
      </c>
      <c r="K39" s="310">
        <v>7601780</v>
      </c>
      <c r="L39" s="310">
        <v>16820404</v>
      </c>
      <c r="M39" s="310">
        <v>6296858</v>
      </c>
      <c r="N39" s="45">
        <v>35500000</v>
      </c>
      <c r="O39" s="45"/>
      <c r="P39" s="45">
        <f>5035527</f>
        <v>5035527</v>
      </c>
      <c r="Q39" s="45">
        <f t="shared" si="24"/>
        <v>30464473</v>
      </c>
      <c r="R39" s="266"/>
      <c r="S39" s="318">
        <v>5200000</v>
      </c>
      <c r="T39" s="319">
        <f>20000+649300+211400+45220+583715</f>
        <v>1509635</v>
      </c>
      <c r="U39" s="266">
        <f t="shared" si="25"/>
        <v>3690365</v>
      </c>
      <c r="V39" s="63"/>
      <c r="W39" s="65"/>
      <c r="X39" s="256">
        <f t="shared" si="26"/>
        <v>3690365</v>
      </c>
      <c r="Y39" s="268"/>
      <c r="Z39" s="63">
        <f t="shared" si="27"/>
        <v>25264473</v>
      </c>
      <c r="AA39" s="743">
        <v>14100000</v>
      </c>
      <c r="AB39" s="740">
        <v>6064473</v>
      </c>
      <c r="AC39" s="63">
        <f t="shared" si="0"/>
        <v>8035527</v>
      </c>
      <c r="AD39" s="268">
        <f t="shared" si="4"/>
        <v>19200000</v>
      </c>
      <c r="AE39" s="268">
        <v>7800000</v>
      </c>
      <c r="AF39" s="268">
        <f t="shared" si="28"/>
        <v>11400000</v>
      </c>
      <c r="AG39" s="628">
        <f t="shared" si="29"/>
        <v>7574108</v>
      </c>
      <c r="AH39" s="269">
        <f t="shared" si="30"/>
        <v>0.2400395606906188</v>
      </c>
      <c r="AI39" s="270"/>
      <c r="AJ39" s="271"/>
      <c r="AK39" s="272" t="e">
        <f>SUM(AD39-AE39-#REF!-#REF!)</f>
        <v>#REF!</v>
      </c>
      <c r="AL39" s="273">
        <f t="shared" si="31"/>
        <v>0.24862100847764543</v>
      </c>
      <c r="AM39" s="174"/>
      <c r="AN39" s="275"/>
      <c r="AO39" s="274" t="s">
        <v>1215</v>
      </c>
      <c r="AP39" s="77"/>
      <c r="AQ39" s="177"/>
      <c r="AR39" s="320"/>
      <c r="AU39" s="125"/>
    </row>
    <row r="40" spans="1:47" s="28" customFormat="1" ht="67.5" customHeight="1" x14ac:dyDescent="0.35">
      <c r="A40" s="27" t="s">
        <v>100</v>
      </c>
      <c r="B40" s="38">
        <v>2</v>
      </c>
      <c r="C40" s="38">
        <v>0</v>
      </c>
      <c r="D40" s="38">
        <v>4</v>
      </c>
      <c r="E40" s="38">
        <v>5</v>
      </c>
      <c r="F40" s="38">
        <v>5</v>
      </c>
      <c r="G40" s="38" t="s">
        <v>147</v>
      </c>
      <c r="H40" s="25">
        <v>10</v>
      </c>
      <c r="I40" s="25" t="s">
        <v>88</v>
      </c>
      <c r="J40" s="42" t="s">
        <v>184</v>
      </c>
      <c r="K40" s="321">
        <v>79507354</v>
      </c>
      <c r="L40" s="321">
        <v>287072300.5</v>
      </c>
      <c r="M40" s="321">
        <v>192403910</v>
      </c>
      <c r="N40" s="45">
        <v>131200000</v>
      </c>
      <c r="O40" s="45"/>
      <c r="P40" s="45"/>
      <c r="Q40" s="45">
        <f t="shared" si="24"/>
        <v>131200000</v>
      </c>
      <c r="R40" s="266"/>
      <c r="S40" s="266">
        <v>600000</v>
      </c>
      <c r="T40" s="306">
        <f>47600+119999+105000+33000</f>
        <v>305599</v>
      </c>
      <c r="U40" s="266">
        <f t="shared" si="25"/>
        <v>294401</v>
      </c>
      <c r="V40" s="63"/>
      <c r="W40" s="66">
        <v>110564465</v>
      </c>
      <c r="X40" s="256">
        <f t="shared" si="26"/>
        <v>294401</v>
      </c>
      <c r="Y40" s="268"/>
      <c r="Z40" s="63">
        <f t="shared" si="27"/>
        <v>20035535</v>
      </c>
      <c r="AA40" s="697"/>
      <c r="AB40" s="63"/>
      <c r="AC40" s="63">
        <f t="shared" si="0"/>
        <v>0</v>
      </c>
      <c r="AD40" s="268">
        <f t="shared" si="4"/>
        <v>20035535</v>
      </c>
      <c r="AE40" s="268"/>
      <c r="AF40" s="268">
        <f t="shared" si="28"/>
        <v>20035535</v>
      </c>
      <c r="AG40" s="628">
        <f t="shared" si="29"/>
        <v>110870064</v>
      </c>
      <c r="AH40" s="269">
        <f t="shared" si="30"/>
        <v>0</v>
      </c>
      <c r="AI40" s="270"/>
      <c r="AJ40" s="271"/>
      <c r="AK40" s="272" t="e">
        <f>SUM(AD40-AE40-#REF!-#REF!)</f>
        <v>#REF!</v>
      </c>
      <c r="AL40" s="273">
        <f t="shared" si="31"/>
        <v>0.84504621951219516</v>
      </c>
      <c r="AM40" s="174"/>
      <c r="AN40" s="260"/>
      <c r="AO40" s="274" t="s">
        <v>1211</v>
      </c>
      <c r="AP40" s="77"/>
      <c r="AQ40" s="177"/>
      <c r="AR40" s="322"/>
      <c r="AU40" s="125"/>
    </row>
    <row r="41" spans="1:47" s="28" customFormat="1" ht="78.75" customHeight="1" x14ac:dyDescent="0.35">
      <c r="A41" s="30" t="s">
        <v>100</v>
      </c>
      <c r="B41" s="38">
        <v>2</v>
      </c>
      <c r="C41" s="38">
        <v>0</v>
      </c>
      <c r="D41" s="38">
        <v>4</v>
      </c>
      <c r="E41" s="38">
        <v>5</v>
      </c>
      <c r="F41" s="38">
        <v>6</v>
      </c>
      <c r="G41" s="38" t="s">
        <v>147</v>
      </c>
      <c r="H41" s="25">
        <v>10</v>
      </c>
      <c r="I41" s="25" t="s">
        <v>88</v>
      </c>
      <c r="J41" s="42" t="s">
        <v>116</v>
      </c>
      <c r="K41" s="749">
        <v>21600000</v>
      </c>
      <c r="L41" s="749">
        <v>21600000</v>
      </c>
      <c r="M41" s="749">
        <v>17451732</v>
      </c>
      <c r="N41" s="45">
        <v>29000000</v>
      </c>
      <c r="O41" s="45"/>
      <c r="P41" s="45">
        <v>6000000</v>
      </c>
      <c r="Q41" s="45">
        <f t="shared" si="24"/>
        <v>23000000</v>
      </c>
      <c r="R41" s="266"/>
      <c r="S41" s="266"/>
      <c r="T41" s="266"/>
      <c r="U41" s="266">
        <f t="shared" si="25"/>
        <v>0</v>
      </c>
      <c r="V41" s="63"/>
      <c r="W41" s="63">
        <v>8331010</v>
      </c>
      <c r="X41" s="256">
        <f t="shared" si="26"/>
        <v>0</v>
      </c>
      <c r="Y41" s="268"/>
      <c r="Z41" s="63">
        <f t="shared" si="27"/>
        <v>14668990</v>
      </c>
      <c r="AA41" s="740">
        <v>7000000</v>
      </c>
      <c r="AB41" s="740"/>
      <c r="AC41" s="63">
        <f t="shared" si="0"/>
        <v>7000000</v>
      </c>
      <c r="AD41" s="268">
        <f t="shared" si="4"/>
        <v>14668990</v>
      </c>
      <c r="AE41" s="268">
        <v>7000000</v>
      </c>
      <c r="AF41" s="268">
        <f t="shared" si="28"/>
        <v>7668990</v>
      </c>
      <c r="AG41" s="628">
        <f t="shared" si="29"/>
        <v>8331010</v>
      </c>
      <c r="AH41" s="269"/>
      <c r="AI41" s="270"/>
      <c r="AJ41" s="271"/>
      <c r="AK41" s="272" t="e">
        <f>SUM(AD41-AE41-#REF!-#REF!)</f>
        <v>#REF!</v>
      </c>
      <c r="AL41" s="273">
        <f t="shared" si="31"/>
        <v>0.36221782608695652</v>
      </c>
      <c r="AM41" s="174"/>
      <c r="AN41" s="275"/>
      <c r="AO41" s="274" t="s">
        <v>1509</v>
      </c>
      <c r="AP41" s="77"/>
      <c r="AQ41" s="177"/>
      <c r="AR41" s="315"/>
      <c r="AU41" s="125"/>
    </row>
    <row r="42" spans="1:47" s="28" customFormat="1" ht="105.6" customHeight="1" x14ac:dyDescent="0.35">
      <c r="A42" s="27" t="s">
        <v>100</v>
      </c>
      <c r="B42" s="38">
        <v>2</v>
      </c>
      <c r="C42" s="38">
        <v>0</v>
      </c>
      <c r="D42" s="38">
        <v>4</v>
      </c>
      <c r="E42" s="38">
        <v>5</v>
      </c>
      <c r="F42" s="38">
        <v>8</v>
      </c>
      <c r="G42" s="38" t="s">
        <v>147</v>
      </c>
      <c r="H42" s="25">
        <v>10</v>
      </c>
      <c r="I42" s="25" t="s">
        <v>88</v>
      </c>
      <c r="J42" s="42" t="s">
        <v>133</v>
      </c>
      <c r="K42" s="749">
        <v>102285363.8</v>
      </c>
      <c r="L42" s="749">
        <v>105523727</v>
      </c>
      <c r="M42" s="749">
        <v>89283685</v>
      </c>
      <c r="N42" s="45">
        <v>189000000</v>
      </c>
      <c r="O42" s="45">
        <f>5000000+6000000+4100000</f>
        <v>15100000</v>
      </c>
      <c r="P42" s="45"/>
      <c r="Q42" s="45">
        <f t="shared" si="24"/>
        <v>204100000</v>
      </c>
      <c r="R42" s="266"/>
      <c r="S42" s="266"/>
      <c r="T42" s="266"/>
      <c r="U42" s="266">
        <f t="shared" si="25"/>
        <v>0</v>
      </c>
      <c r="V42" s="63"/>
      <c r="W42" s="63">
        <v>89919593.219999999</v>
      </c>
      <c r="X42" s="256">
        <f t="shared" si="26"/>
        <v>0</v>
      </c>
      <c r="Y42" s="268"/>
      <c r="Z42" s="63">
        <f t="shared" si="27"/>
        <v>114180406.78</v>
      </c>
      <c r="AA42" s="740">
        <v>104000000</v>
      </c>
      <c r="AB42" s="740">
        <v>80180354</v>
      </c>
      <c r="AC42" s="63">
        <f t="shared" si="0"/>
        <v>23819646</v>
      </c>
      <c r="AD42" s="268">
        <f t="shared" si="4"/>
        <v>34000052.780000001</v>
      </c>
      <c r="AE42" s="268">
        <v>10000000</v>
      </c>
      <c r="AF42" s="268">
        <f t="shared" si="28"/>
        <v>24000052.780000001</v>
      </c>
      <c r="AG42" s="628">
        <f t="shared" si="29"/>
        <v>170099947.22</v>
      </c>
      <c r="AH42" s="269">
        <f t="shared" si="30"/>
        <v>0.70222515632204341</v>
      </c>
      <c r="AI42" s="270"/>
      <c r="AJ42" s="271"/>
      <c r="AK42" s="272" t="e">
        <f>SUM(AD42-AE42-#REF!-#REF!)</f>
        <v>#REF!</v>
      </c>
      <c r="AL42" s="273">
        <f t="shared" si="31"/>
        <v>0.83341473405193534</v>
      </c>
      <c r="AM42" s="174"/>
      <c r="AN42" s="275" t="s">
        <v>376</v>
      </c>
      <c r="AO42" s="274" t="s">
        <v>1503</v>
      </c>
      <c r="AP42" s="77"/>
      <c r="AQ42" s="177">
        <v>10000000</v>
      </c>
      <c r="AR42" s="124"/>
      <c r="AT42" s="124"/>
      <c r="AU42" s="125"/>
    </row>
    <row r="43" spans="1:47" s="28" customFormat="1" ht="84" customHeight="1" x14ac:dyDescent="0.35">
      <c r="A43" s="27" t="s">
        <v>100</v>
      </c>
      <c r="B43" s="38">
        <v>2</v>
      </c>
      <c r="C43" s="38">
        <v>0</v>
      </c>
      <c r="D43" s="38">
        <v>4</v>
      </c>
      <c r="E43" s="38">
        <v>5</v>
      </c>
      <c r="F43" s="38">
        <v>10</v>
      </c>
      <c r="G43" s="38" t="s">
        <v>147</v>
      </c>
      <c r="H43" s="25">
        <v>10</v>
      </c>
      <c r="I43" s="25" t="s">
        <v>88</v>
      </c>
      <c r="J43" s="42" t="s">
        <v>117</v>
      </c>
      <c r="K43" s="749">
        <v>152736982</v>
      </c>
      <c r="L43" s="749">
        <v>159603012</v>
      </c>
      <c r="M43" s="749">
        <v>139184373</v>
      </c>
      <c r="N43" s="45">
        <v>197000000</v>
      </c>
      <c r="O43" s="45">
        <v>6000000</v>
      </c>
      <c r="P43" s="45"/>
      <c r="Q43" s="45">
        <f t="shared" si="24"/>
        <v>203000000</v>
      </c>
      <c r="R43" s="266"/>
      <c r="S43" s="266"/>
      <c r="T43" s="266"/>
      <c r="U43" s="266">
        <f t="shared" si="25"/>
        <v>0</v>
      </c>
      <c r="V43" s="63"/>
      <c r="W43" s="63">
        <v>112737130.06999999</v>
      </c>
      <c r="X43" s="256">
        <f t="shared" si="26"/>
        <v>0</v>
      </c>
      <c r="Y43" s="268"/>
      <c r="Z43" s="63">
        <f t="shared" si="27"/>
        <v>90262869.930000007</v>
      </c>
      <c r="AA43" s="740">
        <v>17000000</v>
      </c>
      <c r="AB43" s="740"/>
      <c r="AC43" s="63">
        <f t="shared" si="0"/>
        <v>17000000</v>
      </c>
      <c r="AD43" s="268">
        <f t="shared" si="4"/>
        <v>90262869.930000007</v>
      </c>
      <c r="AE43" s="268">
        <v>17000000</v>
      </c>
      <c r="AF43" s="268">
        <f t="shared" si="28"/>
        <v>73262869.930000007</v>
      </c>
      <c r="AG43" s="628">
        <f t="shared" si="29"/>
        <v>112737130.06999999</v>
      </c>
      <c r="AH43" s="269">
        <f t="shared" si="30"/>
        <v>0</v>
      </c>
      <c r="AI43" s="270"/>
      <c r="AJ43" s="271"/>
      <c r="AK43" s="272" t="e">
        <f>SUM(AD43-AE43-#REF!-#REF!)</f>
        <v>#REF!</v>
      </c>
      <c r="AL43" s="273">
        <f t="shared" si="31"/>
        <v>0.55535532054187187</v>
      </c>
      <c r="AM43" s="174"/>
      <c r="AN43" s="260"/>
      <c r="AO43" s="274" t="s">
        <v>1504</v>
      </c>
      <c r="AP43" s="77"/>
      <c r="AQ43" s="177"/>
      <c r="AR43" s="124"/>
      <c r="AU43" s="125"/>
    </row>
    <row r="44" spans="1:47" s="28" customFormat="1" ht="36" x14ac:dyDescent="0.35">
      <c r="A44" s="27" t="s">
        <v>100</v>
      </c>
      <c r="B44" s="38">
        <v>2</v>
      </c>
      <c r="C44" s="38">
        <v>0</v>
      </c>
      <c r="D44" s="38">
        <v>4</v>
      </c>
      <c r="E44" s="38">
        <v>5</v>
      </c>
      <c r="F44" s="38">
        <v>12</v>
      </c>
      <c r="G44" s="38" t="s">
        <v>147</v>
      </c>
      <c r="H44" s="25">
        <v>10</v>
      </c>
      <c r="I44" s="25" t="s">
        <v>88</v>
      </c>
      <c r="J44" s="42" t="s">
        <v>118</v>
      </c>
      <c r="K44" s="688">
        <v>1449028</v>
      </c>
      <c r="L44" s="688">
        <v>54500</v>
      </c>
      <c r="M44" s="688">
        <v>3845289</v>
      </c>
      <c r="N44" s="45">
        <v>2000000</v>
      </c>
      <c r="O44" s="45"/>
      <c r="P44" s="45"/>
      <c r="Q44" s="45">
        <f t="shared" si="24"/>
        <v>2000000</v>
      </c>
      <c r="R44" s="266">
        <v>1500000</v>
      </c>
      <c r="S44" s="266">
        <v>500000</v>
      </c>
      <c r="T44" s="306">
        <v>82000</v>
      </c>
      <c r="U44" s="266">
        <f t="shared" si="25"/>
        <v>418000</v>
      </c>
      <c r="V44" s="63"/>
      <c r="W44" s="63"/>
      <c r="X44" s="256">
        <f t="shared" si="26"/>
        <v>418000</v>
      </c>
      <c r="Y44" s="268"/>
      <c r="Z44" s="63">
        <f t="shared" si="27"/>
        <v>0</v>
      </c>
      <c r="AA44" s="63"/>
      <c r="AB44" s="63"/>
      <c r="AC44" s="63">
        <f t="shared" si="0"/>
        <v>0</v>
      </c>
      <c r="AD44" s="268">
        <f t="shared" si="4"/>
        <v>0</v>
      </c>
      <c r="AE44" s="268"/>
      <c r="AF44" s="268">
        <f t="shared" si="28"/>
        <v>0</v>
      </c>
      <c r="AG44" s="628">
        <f t="shared" si="29"/>
        <v>1582000</v>
      </c>
      <c r="AH44" s="269"/>
      <c r="AI44" s="270"/>
      <c r="AJ44" s="271"/>
      <c r="AK44" s="272" t="e">
        <f>SUM(AD44-AE44-#REF!-#REF!)</f>
        <v>#REF!</v>
      </c>
      <c r="AL44" s="273">
        <f t="shared" si="31"/>
        <v>0.79100000000000004</v>
      </c>
      <c r="AM44" s="174"/>
      <c r="AN44" s="260"/>
      <c r="AO44" s="274"/>
      <c r="AP44" s="77"/>
      <c r="AQ44" s="177"/>
      <c r="AR44" s="124"/>
      <c r="AU44" s="125"/>
    </row>
    <row r="45" spans="1:47" s="34" customFormat="1" ht="48" customHeight="1" x14ac:dyDescent="0.35">
      <c r="A45" s="31"/>
      <c r="B45" s="32"/>
      <c r="C45" s="32"/>
      <c r="D45" s="32"/>
      <c r="E45" s="32"/>
      <c r="F45" s="32"/>
      <c r="G45" s="32"/>
      <c r="H45" s="33"/>
      <c r="I45" s="33"/>
      <c r="J45" s="35" t="s">
        <v>134</v>
      </c>
      <c r="K45" s="277">
        <f t="shared" ref="K45:W45" si="32">SUM(K38:K44)</f>
        <v>371899712.80000001</v>
      </c>
      <c r="L45" s="277">
        <f t="shared" si="32"/>
        <v>610640625.5</v>
      </c>
      <c r="M45" s="277">
        <f t="shared" si="32"/>
        <v>455267749</v>
      </c>
      <c r="N45" s="278">
        <f>SUM(N37:N44)</f>
        <v>694220000</v>
      </c>
      <c r="O45" s="278">
        <f>SUM(O37:O44)</f>
        <v>21100000</v>
      </c>
      <c r="P45" s="278">
        <f>SUM(P37:P44)</f>
        <v>74436506</v>
      </c>
      <c r="Q45" s="278">
        <f>SUM(Q37:Q44)</f>
        <v>640883494</v>
      </c>
      <c r="R45" s="49">
        <f>SUM(R38:R44)</f>
        <v>1500000</v>
      </c>
      <c r="S45" s="49">
        <f t="shared" si="32"/>
        <v>8800000</v>
      </c>
      <c r="T45" s="49">
        <f t="shared" si="32"/>
        <v>3181254</v>
      </c>
      <c r="U45" s="49">
        <f t="shared" si="32"/>
        <v>5618746</v>
      </c>
      <c r="V45" s="39">
        <f t="shared" si="32"/>
        <v>0</v>
      </c>
      <c r="W45" s="39">
        <f t="shared" si="32"/>
        <v>321552198.28999996</v>
      </c>
      <c r="X45" s="256">
        <f>SUM(X37:X44)</f>
        <v>5618746</v>
      </c>
      <c r="Y45" s="282">
        <f>SUM(Y37:Y44)</f>
        <v>0</v>
      </c>
      <c r="Z45" s="39">
        <f>SUM(Z38:Z44)</f>
        <v>309031295.71000004</v>
      </c>
      <c r="AA45" s="39">
        <f>SUM(AA38:AA44)</f>
        <v>191100000</v>
      </c>
      <c r="AB45" s="39">
        <f>SUM(AB38:AB44)</f>
        <v>104104827</v>
      </c>
      <c r="AC45" s="39">
        <f t="shared" si="0"/>
        <v>86995173</v>
      </c>
      <c r="AD45" s="282">
        <f>SUM(AD37:AD44)</f>
        <v>204926468.71000001</v>
      </c>
      <c r="AE45" s="282">
        <f>SUM(AE37:AE44)</f>
        <v>62800000</v>
      </c>
      <c r="AF45" s="282">
        <f>SUM(AF37:AF44)</f>
        <v>142126468.71000001</v>
      </c>
      <c r="AG45" s="280"/>
      <c r="AH45" s="292">
        <f>SUM(AB45/Z45)</f>
        <v>0.33687470636531791</v>
      </c>
      <c r="AI45" s="282"/>
      <c r="AJ45" s="323"/>
      <c r="AK45" s="283" t="e">
        <f>SUM(AD45-AE45-#REF!-#REF!)</f>
        <v>#REF!</v>
      </c>
      <c r="AL45" s="284">
        <f>SUM(Q45-(AD45+X45))/Q45</f>
        <v>0.67147661520207602</v>
      </c>
      <c r="AM45" s="206"/>
      <c r="AN45" s="285"/>
      <c r="AO45" s="286"/>
      <c r="AP45" s="287"/>
      <c r="AQ45" s="287"/>
      <c r="AR45" s="288"/>
      <c r="AU45" s="289"/>
    </row>
    <row r="46" spans="1:47" s="28" customFormat="1" ht="26.25" customHeight="1" x14ac:dyDescent="0.35">
      <c r="A46" s="27"/>
      <c r="B46" s="800" t="s">
        <v>124</v>
      </c>
      <c r="C46" s="800"/>
      <c r="D46" s="800"/>
      <c r="E46" s="800"/>
      <c r="F46" s="800"/>
      <c r="G46" s="800"/>
      <c r="H46" s="800"/>
      <c r="I46" s="800"/>
      <c r="J46" s="800"/>
      <c r="K46" s="25"/>
      <c r="L46" s="25"/>
      <c r="M46" s="25"/>
      <c r="N46" s="50"/>
      <c r="O46" s="50"/>
      <c r="P46" s="50"/>
      <c r="Q46" s="50"/>
      <c r="R46" s="50"/>
      <c r="S46" s="50"/>
      <c r="T46" s="50"/>
      <c r="U46" s="50"/>
      <c r="V46" s="64"/>
      <c r="W46" s="64"/>
      <c r="X46" s="294"/>
      <c r="Y46" s="64"/>
      <c r="Z46" s="64"/>
      <c r="AA46" s="64"/>
      <c r="AB46" s="64"/>
      <c r="AC46" s="64"/>
      <c r="AD46" s="64"/>
      <c r="AE46" s="64"/>
      <c r="AF46" s="64"/>
      <c r="AG46" s="629"/>
      <c r="AH46" s="269"/>
      <c r="AI46" s="313"/>
      <c r="AJ46" s="271"/>
      <c r="AK46" s="272" t="e">
        <f>SUM(AD46-AE46-#REF!-#REF!)</f>
        <v>#REF!</v>
      </c>
      <c r="AL46" s="314"/>
      <c r="AM46" s="228"/>
      <c r="AN46" s="260"/>
      <c r="AO46" s="261"/>
      <c r="AP46" s="77"/>
      <c r="AQ46" s="77"/>
      <c r="AR46" s="124"/>
      <c r="AU46" s="125"/>
    </row>
    <row r="47" spans="1:47" s="28" customFormat="1" ht="69.75" x14ac:dyDescent="0.35">
      <c r="A47" s="27" t="s">
        <v>100</v>
      </c>
      <c r="B47" s="38">
        <v>2</v>
      </c>
      <c r="C47" s="38">
        <v>0</v>
      </c>
      <c r="D47" s="38">
        <v>4</v>
      </c>
      <c r="E47" s="38">
        <v>6</v>
      </c>
      <c r="F47" s="38">
        <v>2</v>
      </c>
      <c r="G47" s="38" t="s">
        <v>147</v>
      </c>
      <c r="H47" s="25">
        <v>10</v>
      </c>
      <c r="I47" s="25" t="s">
        <v>88</v>
      </c>
      <c r="J47" s="36" t="s">
        <v>119</v>
      </c>
      <c r="K47" s="749">
        <v>56623255</v>
      </c>
      <c r="L47" s="749">
        <v>80264238</v>
      </c>
      <c r="M47" s="749">
        <v>102393891</v>
      </c>
      <c r="N47" s="45">
        <v>113000000</v>
      </c>
      <c r="O47" s="45"/>
      <c r="P47" s="45"/>
      <c r="Q47" s="45">
        <f>SUM(N47+O47-P47)</f>
        <v>113000000</v>
      </c>
      <c r="R47" s="266"/>
      <c r="S47" s="266">
        <v>1000000</v>
      </c>
      <c r="T47" s="306">
        <f>62700+19000+46900+59500+57000</f>
        <v>245100</v>
      </c>
      <c r="U47" s="266">
        <f>SUM(S47-T47)</f>
        <v>754900</v>
      </c>
      <c r="V47" s="63"/>
      <c r="W47" s="63">
        <v>68877215</v>
      </c>
      <c r="X47" s="256">
        <f>SUM(U47)</f>
        <v>754900</v>
      </c>
      <c r="Y47" s="268"/>
      <c r="Z47" s="63">
        <f>SUM(Q47-R47-T47-V47-W47-X47-Y47)</f>
        <v>43122785</v>
      </c>
      <c r="AA47" s="740">
        <v>10500000</v>
      </c>
      <c r="AB47" s="740"/>
      <c r="AC47" s="63">
        <f t="shared" si="0"/>
        <v>10500000</v>
      </c>
      <c r="AD47" s="268">
        <f t="shared" si="4"/>
        <v>43122785</v>
      </c>
      <c r="AE47" s="268">
        <v>10500000</v>
      </c>
      <c r="AF47" s="268">
        <f>SUM(AD47-AE47)</f>
        <v>32622785</v>
      </c>
      <c r="AG47" s="628">
        <f>SUM(R47+T47+V47+Y47+W47+AB47)</f>
        <v>69122315</v>
      </c>
      <c r="AH47" s="269">
        <f>AB47/(AB47+AE47+AF47)</f>
        <v>0</v>
      </c>
      <c r="AI47" s="270"/>
      <c r="AJ47" s="271"/>
      <c r="AK47" s="272" t="e">
        <f>SUM(AD47-AE47-#REF!-#REF!)</f>
        <v>#REF!</v>
      </c>
      <c r="AL47" s="273">
        <f>SUM(Q47-(AD47+X47))/Q47</f>
        <v>0.61170190265486724</v>
      </c>
      <c r="AM47" s="174"/>
      <c r="AN47" s="260"/>
      <c r="AO47" s="274" t="s">
        <v>651</v>
      </c>
      <c r="AP47" s="77"/>
      <c r="AQ47" s="177"/>
      <c r="AR47" s="124"/>
      <c r="AU47" s="125"/>
    </row>
    <row r="48" spans="1:47" s="28" customFormat="1" ht="95.25" customHeight="1" x14ac:dyDescent="0.35">
      <c r="A48" s="27" t="s">
        <v>100</v>
      </c>
      <c r="B48" s="38">
        <v>2</v>
      </c>
      <c r="C48" s="38">
        <v>0</v>
      </c>
      <c r="D48" s="38">
        <v>4</v>
      </c>
      <c r="E48" s="38">
        <v>6</v>
      </c>
      <c r="F48" s="38">
        <v>5</v>
      </c>
      <c r="G48" s="38" t="s">
        <v>147</v>
      </c>
      <c r="H48" s="25">
        <v>10</v>
      </c>
      <c r="I48" s="25" t="s">
        <v>88</v>
      </c>
      <c r="J48" s="42" t="s">
        <v>120</v>
      </c>
      <c r="K48" s="749">
        <v>16573350</v>
      </c>
      <c r="L48" s="749">
        <v>133954639</v>
      </c>
      <c r="M48" s="749">
        <v>497266364</v>
      </c>
      <c r="N48" s="45">
        <v>980000000</v>
      </c>
      <c r="O48" s="45">
        <v>500000</v>
      </c>
      <c r="P48" s="45">
        <v>206694091</v>
      </c>
      <c r="Q48" s="45">
        <f>SUM(N48+O48-P48)</f>
        <v>773805909</v>
      </c>
      <c r="R48" s="266"/>
      <c r="S48" s="266"/>
      <c r="T48" s="266"/>
      <c r="U48" s="266">
        <f>SUM(S48-T48)</f>
        <v>0</v>
      </c>
      <c r="V48" s="63"/>
      <c r="W48" s="63">
        <f>86009025.43+131297539.29+206748171</f>
        <v>424054735.72000003</v>
      </c>
      <c r="X48" s="256">
        <f>SUM(U48)</f>
        <v>0</v>
      </c>
      <c r="Y48" s="695">
        <v>211820</v>
      </c>
      <c r="Z48" s="63">
        <f>SUM(Q48-R48-T48-V48-W48-X48-Y48)</f>
        <v>349539353.27999997</v>
      </c>
      <c r="AA48" s="740">
        <v>80537173</v>
      </c>
      <c r="AB48" s="740">
        <v>9200000</v>
      </c>
      <c r="AC48" s="740">
        <f t="shared" si="0"/>
        <v>71337173</v>
      </c>
      <c r="AD48" s="741">
        <f t="shared" si="4"/>
        <v>340339353.27999997</v>
      </c>
      <c r="AE48" s="741">
        <v>70537173</v>
      </c>
      <c r="AF48" s="268">
        <f>SUM(AD48-AE48)</f>
        <v>269802180.27999997</v>
      </c>
      <c r="AG48" s="628">
        <f>SUM(R48+T48+V48+Y48+W48+AB48)</f>
        <v>433466555.72000003</v>
      </c>
      <c r="AH48" s="269">
        <f>AB48/(AB48+AE48+AF48)</f>
        <v>2.6320355386794749E-2</v>
      </c>
      <c r="AI48" s="270"/>
      <c r="AJ48" s="271"/>
      <c r="AK48" s="272" t="e">
        <f>SUM(AD48-AE48-#REF!-#REF!)</f>
        <v>#REF!</v>
      </c>
      <c r="AL48" s="273">
        <f>SUM(Q48-(AD48+X48))/Q48</f>
        <v>0.56017478114140384</v>
      </c>
      <c r="AM48" s="324"/>
      <c r="AN48" s="260"/>
      <c r="AO48" s="274" t="s">
        <v>1210</v>
      </c>
      <c r="AP48" s="77"/>
      <c r="AQ48" s="177"/>
      <c r="AR48" s="124"/>
      <c r="AU48" s="125"/>
    </row>
    <row r="49" spans="1:49" s="28" customFormat="1" ht="36" x14ac:dyDescent="0.35">
      <c r="A49" s="27" t="s">
        <v>100</v>
      </c>
      <c r="B49" s="38">
        <v>2</v>
      </c>
      <c r="C49" s="38">
        <v>0</v>
      </c>
      <c r="D49" s="38">
        <v>4</v>
      </c>
      <c r="E49" s="38">
        <v>6</v>
      </c>
      <c r="F49" s="38">
        <v>7</v>
      </c>
      <c r="G49" s="38" t="s">
        <v>147</v>
      </c>
      <c r="H49" s="25">
        <v>10</v>
      </c>
      <c r="I49" s="25" t="s">
        <v>88</v>
      </c>
      <c r="J49" s="42" t="s">
        <v>121</v>
      </c>
      <c r="K49" s="749">
        <v>2968650</v>
      </c>
      <c r="L49" s="749">
        <v>3042900</v>
      </c>
      <c r="M49" s="749">
        <v>0</v>
      </c>
      <c r="N49" s="45">
        <v>5100000</v>
      </c>
      <c r="O49" s="45"/>
      <c r="P49" s="45"/>
      <c r="Q49" s="45">
        <f>SUM(N49+O49-P49)</f>
        <v>5100000</v>
      </c>
      <c r="R49" s="266"/>
      <c r="S49" s="266">
        <v>2700000</v>
      </c>
      <c r="T49" s="306">
        <f>109000+303000+283500+172500+316000+361450</f>
        <v>1545450</v>
      </c>
      <c r="U49" s="266">
        <f>SUM(S49-T49)</f>
        <v>1154550</v>
      </c>
      <c r="V49" s="63"/>
      <c r="W49" s="63"/>
      <c r="X49" s="256">
        <f>SUM(U49)</f>
        <v>1154550</v>
      </c>
      <c r="Y49" s="268"/>
      <c r="Z49" s="63">
        <f>SUM(Q49-R49-T49-V49-W49-X49-Y49)</f>
        <v>2400000</v>
      </c>
      <c r="AA49" s="740">
        <v>2400000</v>
      </c>
      <c r="AB49" s="740"/>
      <c r="AC49" s="63">
        <f t="shared" si="0"/>
        <v>2400000</v>
      </c>
      <c r="AD49" s="268">
        <f t="shared" si="4"/>
        <v>2400000</v>
      </c>
      <c r="AE49" s="256">
        <v>2400000</v>
      </c>
      <c r="AF49" s="268">
        <f>SUM(AD49-AE49)</f>
        <v>0</v>
      </c>
      <c r="AG49" s="628">
        <f>SUM(R49+T49+V49+Y49+W49+AB49)</f>
        <v>1545450</v>
      </c>
      <c r="AH49" s="269">
        <f>AB49/(AB49+AE49+AF49)</f>
        <v>0</v>
      </c>
      <c r="AI49" s="270"/>
      <c r="AJ49" s="271"/>
      <c r="AK49" s="272" t="e">
        <f>SUM(AD49-AE49-#REF!-#REF!)</f>
        <v>#REF!</v>
      </c>
      <c r="AL49" s="273">
        <f>SUM(Q49-(AD49+X49))/Q49</f>
        <v>0.30302941176470588</v>
      </c>
      <c r="AM49" s="174"/>
      <c r="AN49" s="260"/>
      <c r="AO49" s="274"/>
      <c r="AP49" s="77"/>
      <c r="AQ49" s="177"/>
      <c r="AR49" s="124"/>
      <c r="AU49" s="125"/>
    </row>
    <row r="50" spans="1:49" s="28" customFormat="1" ht="100.5" customHeight="1" x14ac:dyDescent="0.35">
      <c r="A50" s="27" t="s">
        <v>100</v>
      </c>
      <c r="B50" s="38">
        <v>2</v>
      </c>
      <c r="C50" s="38">
        <v>0</v>
      </c>
      <c r="D50" s="38">
        <v>4</v>
      </c>
      <c r="E50" s="38">
        <v>6</v>
      </c>
      <c r="F50" s="38">
        <v>8</v>
      </c>
      <c r="G50" s="38" t="s">
        <v>147</v>
      </c>
      <c r="H50" s="25">
        <v>10</v>
      </c>
      <c r="I50" s="25" t="s">
        <v>88</v>
      </c>
      <c r="J50" s="42" t="s">
        <v>377</v>
      </c>
      <c r="K50" s="749">
        <v>3728944</v>
      </c>
      <c r="L50" s="749">
        <v>4108750</v>
      </c>
      <c r="M50" s="749">
        <f>3344323+1826294</f>
        <v>5170617</v>
      </c>
      <c r="N50" s="45">
        <v>5400000</v>
      </c>
      <c r="O50" s="45">
        <v>386000</v>
      </c>
      <c r="P50" s="45">
        <v>500000</v>
      </c>
      <c r="Q50" s="45">
        <f>SUM(N50+O50-P50)</f>
        <v>5286000</v>
      </c>
      <c r="R50" s="266">
        <v>1500000</v>
      </c>
      <c r="S50" s="266"/>
      <c r="T50" s="266"/>
      <c r="U50" s="266">
        <f>SUM(S50-T50)</f>
        <v>0</v>
      </c>
      <c r="V50" s="63"/>
      <c r="W50" s="70"/>
      <c r="X50" s="256">
        <f>SUM(U50)</f>
        <v>0</v>
      </c>
      <c r="Y50" s="268"/>
      <c r="Z50" s="63">
        <f>SUM(Q50-R50-T50-V50-W50-X50-Y50)</f>
        <v>3786000</v>
      </c>
      <c r="AA50" s="740">
        <v>4286000</v>
      </c>
      <c r="AB50" s="740">
        <v>2168614</v>
      </c>
      <c r="AC50" s="63">
        <f t="shared" si="0"/>
        <v>2117386</v>
      </c>
      <c r="AD50" s="268">
        <f t="shared" si="4"/>
        <v>1617386</v>
      </c>
      <c r="AE50" s="268"/>
      <c r="AF50" s="268">
        <f>SUM(AD50-AE50)</f>
        <v>1617386</v>
      </c>
      <c r="AG50" s="628">
        <f>SUM(R50+T50+V50+Y50+W50+AB50)</f>
        <v>3668614</v>
      </c>
      <c r="AH50" s="269">
        <f>AB50/(AB50+AE50+AF50)</f>
        <v>0.57279820390913894</v>
      </c>
      <c r="AI50" s="270"/>
      <c r="AJ50" s="271"/>
      <c r="AK50" s="272" t="e">
        <f>SUM(AD50-AE50-#REF!-#REF!)</f>
        <v>#REF!</v>
      </c>
      <c r="AL50" s="273">
        <f>SUM(Q50-(AD50+X50))/Q50</f>
        <v>0.69402459326522892</v>
      </c>
      <c r="AM50" s="174"/>
      <c r="AN50" s="260"/>
      <c r="AO50" s="274" t="s">
        <v>1259</v>
      </c>
      <c r="AP50" s="77"/>
      <c r="AQ50" s="177"/>
      <c r="AR50" s="124"/>
      <c r="AU50" s="125"/>
    </row>
    <row r="51" spans="1:49" s="34" customFormat="1" ht="49.5" customHeight="1" x14ac:dyDescent="0.35">
      <c r="A51" s="31"/>
      <c r="B51" s="32"/>
      <c r="C51" s="32"/>
      <c r="D51" s="32"/>
      <c r="E51" s="32"/>
      <c r="F51" s="32"/>
      <c r="G51" s="32"/>
      <c r="H51" s="33"/>
      <c r="I51" s="33"/>
      <c r="J51" s="35" t="s">
        <v>136</v>
      </c>
      <c r="K51" s="277">
        <f>SUM(K47:K50)</f>
        <v>79894199</v>
      </c>
      <c r="L51" s="277">
        <f>SUM(L47:L50)</f>
        <v>221370527</v>
      </c>
      <c r="M51" s="277">
        <f>SUM(M47:M50)</f>
        <v>604830872</v>
      </c>
      <c r="N51" s="278">
        <f>SUM(N46:N50)</f>
        <v>1103500000</v>
      </c>
      <c r="O51" s="278">
        <f>SUM(O46:O50)</f>
        <v>886000</v>
      </c>
      <c r="P51" s="278">
        <f>SUM(P46:P50)</f>
        <v>207194091</v>
      </c>
      <c r="Q51" s="278">
        <f>SUM(Q46:Q50)</f>
        <v>897191909</v>
      </c>
      <c r="R51" s="49">
        <f>SUM(R47:R50)</f>
        <v>1500000</v>
      </c>
      <c r="S51" s="49">
        <f>SUM(S47:S50)</f>
        <v>3700000</v>
      </c>
      <c r="T51" s="49">
        <f t="shared" ref="T51:AA51" si="33">SUM(T47:T50)</f>
        <v>1790550</v>
      </c>
      <c r="U51" s="49">
        <f t="shared" si="33"/>
        <v>1909450</v>
      </c>
      <c r="V51" s="39">
        <f t="shared" si="33"/>
        <v>0</v>
      </c>
      <c r="W51" s="39">
        <f t="shared" si="33"/>
        <v>492931950.72000003</v>
      </c>
      <c r="X51" s="256">
        <f>SUM(X46:X50)</f>
        <v>1909450</v>
      </c>
      <c r="Y51" s="282">
        <f>SUM(Y46:Y50)</f>
        <v>211820</v>
      </c>
      <c r="Z51" s="39">
        <f t="shared" si="33"/>
        <v>398848138.27999997</v>
      </c>
      <c r="AA51" s="39">
        <f t="shared" si="33"/>
        <v>97723173</v>
      </c>
      <c r="AB51" s="39">
        <f>SUM(AB47:AB50)</f>
        <v>11368614</v>
      </c>
      <c r="AC51" s="39">
        <f t="shared" si="0"/>
        <v>86354559</v>
      </c>
      <c r="AD51" s="282">
        <f>SUM(AD46:AD50)</f>
        <v>387479524.27999997</v>
      </c>
      <c r="AE51" s="282">
        <f>SUM(AE46:AE50)</f>
        <v>83437173</v>
      </c>
      <c r="AF51" s="282">
        <f>SUM(AF46:AF50)</f>
        <v>304042351.27999997</v>
      </c>
      <c r="AG51" s="280"/>
      <c r="AH51" s="292">
        <f>SUM(AB51/Z51)</f>
        <v>2.8503615559110341E-2</v>
      </c>
      <c r="AI51" s="282"/>
      <c r="AJ51" s="39"/>
      <c r="AK51" s="283" t="e">
        <f>SUM(AD51-AE51-#REF!-#REF!)</f>
        <v>#REF!</v>
      </c>
      <c r="AL51" s="284">
        <f>SUM(Q51-(AD51+X51))/Q51</f>
        <v>0.56599143352283621</v>
      </c>
      <c r="AM51" s="206"/>
      <c r="AN51" s="285"/>
      <c r="AO51" s="286"/>
      <c r="AP51" s="287"/>
      <c r="AQ51" s="287"/>
      <c r="AR51" s="288"/>
      <c r="AU51" s="289"/>
    </row>
    <row r="52" spans="1:49" s="28" customFormat="1" ht="33" customHeight="1" x14ac:dyDescent="0.35">
      <c r="A52" s="27"/>
      <c r="B52" s="800" t="s">
        <v>122</v>
      </c>
      <c r="C52" s="800"/>
      <c r="D52" s="800"/>
      <c r="E52" s="800"/>
      <c r="F52" s="800"/>
      <c r="G52" s="800"/>
      <c r="H52" s="800"/>
      <c r="I52" s="800"/>
      <c r="J52" s="800" t="s">
        <v>122</v>
      </c>
      <c r="K52" s="25"/>
      <c r="L52" s="25"/>
      <c r="M52" s="25"/>
      <c r="N52" s="50"/>
      <c r="O52" s="50"/>
      <c r="P52" s="50"/>
      <c r="Q52" s="50"/>
      <c r="R52" s="50"/>
      <c r="S52" s="50"/>
      <c r="T52" s="50"/>
      <c r="U52" s="50"/>
      <c r="V52" s="64"/>
      <c r="W52" s="64"/>
      <c r="X52" s="294"/>
      <c r="Y52" s="64"/>
      <c r="Z52" s="64"/>
      <c r="AA52" s="64"/>
      <c r="AB52" s="64"/>
      <c r="AC52" s="64"/>
      <c r="AD52" s="64"/>
      <c r="AE52" s="64"/>
      <c r="AF52" s="64"/>
      <c r="AG52" s="629"/>
      <c r="AH52" s="269"/>
      <c r="AI52" s="313"/>
      <c r="AJ52" s="271"/>
      <c r="AK52" s="272" t="e">
        <f>SUM(AD52-AE52-#REF!-#REF!)</f>
        <v>#REF!</v>
      </c>
      <c r="AL52" s="314"/>
      <c r="AM52" s="228"/>
      <c r="AN52" s="260"/>
      <c r="AO52" s="261"/>
      <c r="AP52" s="77"/>
      <c r="AQ52" s="77"/>
      <c r="AR52" s="124"/>
      <c r="AU52" s="125"/>
    </row>
    <row r="53" spans="1:49" s="28" customFormat="1" ht="36" x14ac:dyDescent="0.35">
      <c r="A53" s="27" t="s">
        <v>100</v>
      </c>
      <c r="B53" s="38">
        <v>2</v>
      </c>
      <c r="C53" s="38">
        <v>0</v>
      </c>
      <c r="D53" s="38">
        <v>4</v>
      </c>
      <c r="E53" s="38">
        <v>7</v>
      </c>
      <c r="F53" s="38">
        <v>1</v>
      </c>
      <c r="G53" s="38" t="s">
        <v>147</v>
      </c>
      <c r="H53" s="25">
        <v>9</v>
      </c>
      <c r="I53" s="25" t="s">
        <v>88</v>
      </c>
      <c r="J53" s="36" t="s">
        <v>150</v>
      </c>
      <c r="K53" s="749">
        <v>746200</v>
      </c>
      <c r="L53" s="749">
        <v>85400</v>
      </c>
      <c r="M53" s="749"/>
      <c r="N53" s="45"/>
      <c r="O53" s="45"/>
      <c r="P53" s="45"/>
      <c r="Q53" s="45">
        <f>SUM(N53+O53-P53)</f>
        <v>0</v>
      </c>
      <c r="R53" s="266"/>
      <c r="S53" s="266">
        <v>0</v>
      </c>
      <c r="T53" s="266">
        <v>0</v>
      </c>
      <c r="U53" s="266">
        <f>SUM(S53-T53)</f>
        <v>0</v>
      </c>
      <c r="V53" s="63"/>
      <c r="W53" s="63"/>
      <c r="X53" s="256">
        <f>SUM(U53)</f>
        <v>0</v>
      </c>
      <c r="Y53" s="268"/>
      <c r="Z53" s="63">
        <f>SUM(Q53-R53-T53-V53-W53-X53-Y53)</f>
        <v>0</v>
      </c>
      <c r="AA53" s="63"/>
      <c r="AB53" s="63"/>
      <c r="AC53" s="63">
        <f t="shared" si="0"/>
        <v>0</v>
      </c>
      <c r="AD53" s="268">
        <f t="shared" si="4"/>
        <v>0</v>
      </c>
      <c r="AE53" s="268"/>
      <c r="AF53" s="268">
        <f>SUM(AD53-AE53)</f>
        <v>0</v>
      </c>
      <c r="AG53" s="628">
        <f>SUM(R53+T53+V53+Y53+W53+AB53)</f>
        <v>0</v>
      </c>
      <c r="AH53" s="269"/>
      <c r="AI53" s="270"/>
      <c r="AJ53" s="271"/>
      <c r="AK53" s="272" t="e">
        <f>SUM(AD53-AE53-#REF!-#REF!)</f>
        <v>#REF!</v>
      </c>
      <c r="AL53" s="273" t="e">
        <f>SUM(Q53-(AD53+X53))/Q53</f>
        <v>#DIV/0!</v>
      </c>
      <c r="AM53" s="174"/>
      <c r="AN53" s="260"/>
      <c r="AO53" s="274"/>
      <c r="AP53" s="77"/>
      <c r="AQ53" s="77"/>
      <c r="AR53" s="124"/>
      <c r="AU53" s="125"/>
    </row>
    <row r="54" spans="1:49" s="28" customFormat="1" ht="65.25" customHeight="1" x14ac:dyDescent="0.35">
      <c r="A54" s="27" t="s">
        <v>100</v>
      </c>
      <c r="B54" s="38">
        <v>2</v>
      </c>
      <c r="C54" s="38">
        <v>0</v>
      </c>
      <c r="D54" s="38">
        <v>4</v>
      </c>
      <c r="E54" s="38">
        <v>7</v>
      </c>
      <c r="F54" s="38">
        <v>3</v>
      </c>
      <c r="G54" s="38" t="s">
        <v>90</v>
      </c>
      <c r="H54" s="25">
        <v>10</v>
      </c>
      <c r="I54" s="25" t="s">
        <v>88</v>
      </c>
      <c r="J54" s="36" t="s">
        <v>149</v>
      </c>
      <c r="K54" s="749">
        <v>111300</v>
      </c>
      <c r="L54" s="749">
        <v>120960</v>
      </c>
      <c r="M54" s="749"/>
      <c r="N54" s="45"/>
      <c r="O54" s="45"/>
      <c r="P54" s="45"/>
      <c r="Q54" s="45">
        <f>SUM(N54+O54-P54)</f>
        <v>0</v>
      </c>
      <c r="R54" s="266"/>
      <c r="S54" s="266"/>
      <c r="T54" s="266">
        <v>0</v>
      </c>
      <c r="U54" s="266">
        <f>SUM(S54-T54)</f>
        <v>0</v>
      </c>
      <c r="V54" s="63"/>
      <c r="W54" s="63"/>
      <c r="X54" s="256">
        <f>SUM(U54)</f>
        <v>0</v>
      </c>
      <c r="Y54" s="268"/>
      <c r="Z54" s="63">
        <f>SUM(Q54-R54-T54-V54-W54-X54-Y54)</f>
        <v>0</v>
      </c>
      <c r="AA54" s="325"/>
      <c r="AB54" s="325"/>
      <c r="AC54" s="325">
        <f t="shared" si="0"/>
        <v>0</v>
      </c>
      <c r="AD54" s="268">
        <f t="shared" si="4"/>
        <v>0</v>
      </c>
      <c r="AE54" s="268"/>
      <c r="AF54" s="268">
        <f>SUM(AD54-AE54)</f>
        <v>0</v>
      </c>
      <c r="AG54" s="628">
        <f>SUM(R54+T54+V54+Y54+W54+AB54)</f>
        <v>0</v>
      </c>
      <c r="AH54" s="269"/>
      <c r="AI54" s="270"/>
      <c r="AJ54" s="271"/>
      <c r="AK54" s="272" t="e">
        <f>SUM(AD54-AE54-#REF!-#REF!)</f>
        <v>#REF!</v>
      </c>
      <c r="AL54" s="273" t="e">
        <f>SUM(Q54-(AD54+X54))/Q54</f>
        <v>#DIV/0!</v>
      </c>
      <c r="AM54" s="174"/>
      <c r="AN54" s="260"/>
      <c r="AO54" s="274"/>
      <c r="AP54" s="77"/>
      <c r="AQ54" s="77"/>
      <c r="AR54" s="124"/>
      <c r="AU54" s="125"/>
    </row>
    <row r="55" spans="1:49" s="28" customFormat="1" ht="52.5" customHeight="1" x14ac:dyDescent="0.35">
      <c r="A55" s="27" t="s">
        <v>100</v>
      </c>
      <c r="B55" s="38">
        <v>2</v>
      </c>
      <c r="C55" s="38">
        <v>0</v>
      </c>
      <c r="D55" s="38">
        <v>4</v>
      </c>
      <c r="E55" s="38">
        <v>7</v>
      </c>
      <c r="F55" s="38">
        <v>5</v>
      </c>
      <c r="G55" s="38" t="s">
        <v>147</v>
      </c>
      <c r="H55" s="25">
        <v>10</v>
      </c>
      <c r="I55" s="25" t="s">
        <v>88</v>
      </c>
      <c r="J55" s="42" t="s">
        <v>123</v>
      </c>
      <c r="K55" s="749">
        <v>2293000</v>
      </c>
      <c r="L55" s="749">
        <v>1674000</v>
      </c>
      <c r="M55" s="749">
        <v>683998</v>
      </c>
      <c r="N55" s="45">
        <v>6000000</v>
      </c>
      <c r="O55" s="45"/>
      <c r="P55" s="190">
        <v>500000</v>
      </c>
      <c r="Q55" s="45">
        <f>SUM(N55+O55-P55)</f>
        <v>5500000</v>
      </c>
      <c r="R55" s="266"/>
      <c r="S55" s="266"/>
      <c r="T55" s="266"/>
      <c r="U55" s="266">
        <f>SUM(S55-T55)</f>
        <v>0</v>
      </c>
      <c r="V55" s="63"/>
      <c r="W55" s="63"/>
      <c r="X55" s="256">
        <f>SUM(U55)</f>
        <v>0</v>
      </c>
      <c r="Y55" s="268"/>
      <c r="Z55" s="63">
        <f>SUM(Q55-R55-T55-V55-W55-X55-Y55)</f>
        <v>5500000</v>
      </c>
      <c r="AA55" s="740">
        <v>5500000</v>
      </c>
      <c r="AB55" s="740"/>
      <c r="AC55" s="63">
        <f t="shared" si="0"/>
        <v>5500000</v>
      </c>
      <c r="AD55" s="268">
        <f t="shared" si="4"/>
        <v>5500000</v>
      </c>
      <c r="AE55" s="268">
        <v>5500000</v>
      </c>
      <c r="AF55" s="268">
        <f>SUM(AD55-AE55)</f>
        <v>0</v>
      </c>
      <c r="AG55" s="628">
        <f>SUM(R55+T55+V55+Y55+W55+AB55)</f>
        <v>0</v>
      </c>
      <c r="AH55" s="269">
        <f>AB55/(AB55+AE55+AF55)</f>
        <v>0</v>
      </c>
      <c r="AI55" s="270"/>
      <c r="AJ55" s="271"/>
      <c r="AK55" s="272" t="e">
        <f>SUM(AD55-AE55-#REF!-#REF!)</f>
        <v>#REF!</v>
      </c>
      <c r="AL55" s="273">
        <f>SUM(Q55-(AD55+X55))/Q55</f>
        <v>0</v>
      </c>
      <c r="AM55" s="174"/>
      <c r="AN55" s="260"/>
      <c r="AO55" s="274"/>
      <c r="AP55" s="77"/>
      <c r="AQ55" s="77"/>
      <c r="AR55" s="124"/>
      <c r="AU55" s="125"/>
    </row>
    <row r="56" spans="1:49" s="28" customFormat="1" ht="73.5" customHeight="1" x14ac:dyDescent="0.35">
      <c r="A56" s="27" t="s">
        <v>100</v>
      </c>
      <c r="B56" s="38">
        <v>2</v>
      </c>
      <c r="C56" s="38">
        <v>0</v>
      </c>
      <c r="D56" s="38">
        <v>4</v>
      </c>
      <c r="E56" s="38">
        <v>7</v>
      </c>
      <c r="F56" s="38">
        <v>6</v>
      </c>
      <c r="G56" s="38" t="s">
        <v>147</v>
      </c>
      <c r="H56" s="25">
        <v>10</v>
      </c>
      <c r="I56" s="25" t="s">
        <v>88</v>
      </c>
      <c r="J56" s="42" t="s">
        <v>212</v>
      </c>
      <c r="K56" s="749">
        <v>5955458</v>
      </c>
      <c r="L56" s="749">
        <v>4360858</v>
      </c>
      <c r="M56" s="749">
        <f>1454877</f>
        <v>1454877</v>
      </c>
      <c r="N56" s="45">
        <v>5500000</v>
      </c>
      <c r="O56" s="190">
        <v>500000</v>
      </c>
      <c r="P56" s="45"/>
      <c r="Q56" s="45">
        <f>SUM(N56+O56-P56)</f>
        <v>6000000</v>
      </c>
      <c r="R56" s="49">
        <v>500000</v>
      </c>
      <c r="S56" s="49">
        <v>2500000</v>
      </c>
      <c r="T56" s="306">
        <f>28000+256084+250100+122840+128628+325928</f>
        <v>1111580</v>
      </c>
      <c r="U56" s="266">
        <f>SUM(S56-T56)</f>
        <v>1388420</v>
      </c>
      <c r="V56" s="63"/>
      <c r="W56" s="63"/>
      <c r="X56" s="256">
        <f>SUM(U56)</f>
        <v>1388420</v>
      </c>
      <c r="Y56" s="268"/>
      <c r="Z56" s="63">
        <f>SUM(Q56-R56-T56-V56-W56-X56-Y56)</f>
        <v>3000000</v>
      </c>
      <c r="AA56" s="740">
        <v>3000000</v>
      </c>
      <c r="AB56" s="740"/>
      <c r="AC56" s="63">
        <f t="shared" si="0"/>
        <v>3000000</v>
      </c>
      <c r="AD56" s="268">
        <f t="shared" si="4"/>
        <v>3000000</v>
      </c>
      <c r="AE56" s="268">
        <v>3000000</v>
      </c>
      <c r="AF56" s="268">
        <f>SUM(AD56-AE56)</f>
        <v>0</v>
      </c>
      <c r="AG56" s="628">
        <f>SUM(R56+T56+V56+Y56+W56+AB56)</f>
        <v>1611580</v>
      </c>
      <c r="AH56" s="269">
        <f>AB56/(AB56+AE56+AF56)</f>
        <v>0</v>
      </c>
      <c r="AI56" s="270"/>
      <c r="AJ56" s="271"/>
      <c r="AK56" s="272" t="e">
        <f>SUM(AD56-AE56-#REF!-#REF!)</f>
        <v>#REF!</v>
      </c>
      <c r="AL56" s="273">
        <f>SUM(Q56-(AD56+X56))/Q56</f>
        <v>0.26859666666666665</v>
      </c>
      <c r="AM56" s="174"/>
      <c r="AN56" s="260"/>
      <c r="AO56" s="274"/>
      <c r="AP56" s="77"/>
      <c r="AQ56" s="77"/>
      <c r="AR56" s="124"/>
      <c r="AU56" s="125"/>
    </row>
    <row r="57" spans="1:49" s="34" customFormat="1" ht="36" x14ac:dyDescent="0.35">
      <c r="A57" s="31"/>
      <c r="B57" s="32"/>
      <c r="C57" s="32"/>
      <c r="D57" s="32"/>
      <c r="E57" s="32"/>
      <c r="F57" s="32"/>
      <c r="G57" s="32" t="s">
        <v>147</v>
      </c>
      <c r="H57" s="33"/>
      <c r="I57" s="33"/>
      <c r="J57" s="35" t="s">
        <v>152</v>
      </c>
      <c r="K57" s="277">
        <f>SUM(K53:K56)</f>
        <v>9105958</v>
      </c>
      <c r="L57" s="277">
        <f>SUM(L53:L56)</f>
        <v>6241218</v>
      </c>
      <c r="M57" s="277">
        <f>SUM(M53:M56)</f>
        <v>2138875</v>
      </c>
      <c r="N57" s="278">
        <f>SUM(N53:N56)</f>
        <v>11500000</v>
      </c>
      <c r="O57" s="278">
        <f t="shared" ref="O57:V57" si="34">SUM(O53:O56)</f>
        <v>500000</v>
      </c>
      <c r="P57" s="278">
        <f t="shared" si="34"/>
        <v>500000</v>
      </c>
      <c r="Q57" s="278">
        <f t="shared" si="34"/>
        <v>11500000</v>
      </c>
      <c r="R57" s="49">
        <f t="shared" si="34"/>
        <v>500000</v>
      </c>
      <c r="S57" s="49">
        <f t="shared" si="34"/>
        <v>2500000</v>
      </c>
      <c r="T57" s="49">
        <f t="shared" si="34"/>
        <v>1111580</v>
      </c>
      <c r="U57" s="49">
        <f t="shared" si="34"/>
        <v>1388420</v>
      </c>
      <c r="V57" s="39">
        <f t="shared" si="34"/>
        <v>0</v>
      </c>
      <c r="W57" s="39">
        <f>SUM(W55:W56)</f>
        <v>0</v>
      </c>
      <c r="X57" s="256">
        <f>SUM(X52:X56)</f>
        <v>1388420</v>
      </c>
      <c r="Y57" s="282">
        <f>SUM(Y52:Y56)</f>
        <v>0</v>
      </c>
      <c r="Z57" s="39">
        <f>SUM(Z53:Z56)</f>
        <v>8500000</v>
      </c>
      <c r="AA57" s="39">
        <f>SUM(AA55:AA56)</f>
        <v>8500000</v>
      </c>
      <c r="AB57" s="39">
        <f>SUM(AB52:AB56)</f>
        <v>0</v>
      </c>
      <c r="AC57" s="39">
        <f t="shared" si="0"/>
        <v>8500000</v>
      </c>
      <c r="AD57" s="282">
        <f>SUM(AD52:AD56)</f>
        <v>8500000</v>
      </c>
      <c r="AE57" s="282">
        <f>SUM(AE52:AE56)</f>
        <v>8500000</v>
      </c>
      <c r="AF57" s="282">
        <f>SUM(AF52:AF56)</f>
        <v>0</v>
      </c>
      <c r="AG57" s="280"/>
      <c r="AH57" s="292">
        <f>SUM(AB57/Z57)</f>
        <v>0</v>
      </c>
      <c r="AI57" s="282"/>
      <c r="AJ57" s="39"/>
      <c r="AK57" s="283" t="e">
        <f>SUM(AD57-AE57-#REF!-#REF!)</f>
        <v>#REF!</v>
      </c>
      <c r="AL57" s="284">
        <f>SUM(Q57-(AD57+X57))/Q57</f>
        <v>0.14013739130434782</v>
      </c>
      <c r="AM57" s="206"/>
      <c r="AN57" s="285"/>
      <c r="AO57" s="286"/>
      <c r="AP57" s="287"/>
      <c r="AQ57" s="287"/>
      <c r="AR57" s="288"/>
      <c r="AU57" s="289"/>
    </row>
    <row r="58" spans="1:49" s="28" customFormat="1" ht="40.5" customHeight="1" x14ac:dyDescent="0.4">
      <c r="A58" s="27"/>
      <c r="B58" s="800" t="s">
        <v>378</v>
      </c>
      <c r="C58" s="800"/>
      <c r="D58" s="800"/>
      <c r="E58" s="800"/>
      <c r="F58" s="800"/>
      <c r="G58" s="800"/>
      <c r="H58" s="800"/>
      <c r="I58" s="800"/>
      <c r="J58" s="800"/>
      <c r="K58" s="688"/>
      <c r="L58" s="688"/>
      <c r="M58" s="688"/>
      <c r="N58" s="45"/>
      <c r="O58" s="45"/>
      <c r="P58" s="45"/>
      <c r="Q58" s="45"/>
      <c r="R58" s="266"/>
      <c r="S58" s="266"/>
      <c r="T58" s="266"/>
      <c r="U58" s="266"/>
      <c r="V58" s="63"/>
      <c r="W58" s="63"/>
      <c r="X58" s="256">
        <f>SUM(M58)</f>
        <v>0</v>
      </c>
      <c r="Y58" s="268"/>
      <c r="Z58" s="63"/>
      <c r="AA58" s="63"/>
      <c r="AB58" s="63"/>
      <c r="AC58" s="63">
        <f t="shared" ref="AC58:AC84" si="35">SUM(AA58-AB58)</f>
        <v>0</v>
      </c>
      <c r="AD58" s="268"/>
      <c r="AE58" s="268"/>
      <c r="AF58" s="268"/>
      <c r="AG58" s="628"/>
      <c r="AH58" s="269"/>
      <c r="AI58" s="326"/>
      <c r="AJ58" s="271"/>
      <c r="AK58" s="272"/>
      <c r="AL58" s="314"/>
      <c r="AM58" s="228"/>
      <c r="AN58" s="260"/>
      <c r="AO58" s="261"/>
      <c r="AP58" s="77"/>
      <c r="AQ58" s="77"/>
      <c r="AR58" s="124" t="s">
        <v>379</v>
      </c>
      <c r="AT58" s="327" t="s">
        <v>380</v>
      </c>
      <c r="AU58" s="125" t="s">
        <v>381</v>
      </c>
      <c r="AV58" s="328" t="s">
        <v>382</v>
      </c>
    </row>
    <row r="59" spans="1:49" s="28" customFormat="1" ht="36" x14ac:dyDescent="0.35">
      <c r="A59" s="27" t="s">
        <v>100</v>
      </c>
      <c r="B59" s="38">
        <v>2</v>
      </c>
      <c r="C59" s="38">
        <v>0</v>
      </c>
      <c r="D59" s="38">
        <v>4</v>
      </c>
      <c r="E59" s="38">
        <v>8</v>
      </c>
      <c r="F59" s="38">
        <v>1</v>
      </c>
      <c r="G59" s="38" t="s">
        <v>147</v>
      </c>
      <c r="H59" s="25">
        <v>10</v>
      </c>
      <c r="I59" s="25" t="s">
        <v>88</v>
      </c>
      <c r="J59" s="36" t="s">
        <v>383</v>
      </c>
      <c r="K59" s="749">
        <v>6186430</v>
      </c>
      <c r="L59" s="749">
        <v>6607190</v>
      </c>
      <c r="M59" s="749">
        <v>9941102</v>
      </c>
      <c r="N59" s="45">
        <v>10000000</v>
      </c>
      <c r="O59" s="45"/>
      <c r="P59" s="45"/>
      <c r="Q59" s="45">
        <f>SUM(N59+O59-P59)</f>
        <v>10000000</v>
      </c>
      <c r="R59" s="266"/>
      <c r="S59" s="266"/>
      <c r="T59" s="266"/>
      <c r="U59" s="266"/>
      <c r="V59" s="63">
        <f>SUM(Q59)</f>
        <v>10000000</v>
      </c>
      <c r="W59" s="63"/>
      <c r="X59" s="256">
        <f>SUM(U59)</f>
        <v>0</v>
      </c>
      <c r="Y59" s="268"/>
      <c r="Z59" s="63">
        <f>SUM(Q59-R59-T59-V59-W59-X59-Y59)</f>
        <v>0</v>
      </c>
      <c r="AA59" s="63"/>
      <c r="AB59" s="63"/>
      <c r="AC59" s="63">
        <f t="shared" si="35"/>
        <v>0</v>
      </c>
      <c r="AD59" s="268"/>
      <c r="AE59" s="268"/>
      <c r="AF59" s="268" t="s">
        <v>36</v>
      </c>
      <c r="AG59" s="628">
        <v>5880112</v>
      </c>
      <c r="AH59" s="269" t="e">
        <f>AB59/(AB59+AE59+AF59)</f>
        <v>#VALUE!</v>
      </c>
      <c r="AI59" s="270"/>
      <c r="AJ59" s="271"/>
      <c r="AK59" s="272" t="e">
        <f>SUM(AD59-AE59-#REF!-#REF!)</f>
        <v>#REF!</v>
      </c>
      <c r="AL59" s="273">
        <f>SUM(Q59-(AD59+X59))/Q59</f>
        <v>1</v>
      </c>
      <c r="AM59" s="180"/>
      <c r="AN59" s="330"/>
      <c r="AO59" s="331"/>
      <c r="AP59" s="77"/>
      <c r="AQ59" s="77"/>
      <c r="AR59" s="332">
        <f>SUM(Q59-AG59)</f>
        <v>4119888</v>
      </c>
      <c r="AS59" s="333"/>
      <c r="AT59" s="635">
        <v>950000</v>
      </c>
      <c r="AU59" s="635">
        <f>SUM(AT59*5)</f>
        <v>4750000</v>
      </c>
      <c r="AV59" s="334">
        <f>SUM(AR59-AU59)</f>
        <v>-630112</v>
      </c>
      <c r="AW59" s="576">
        <f>SUM(AU59--AV59)</f>
        <v>4119888</v>
      </c>
    </row>
    <row r="60" spans="1:49" s="28" customFormat="1" ht="53.25" customHeight="1" x14ac:dyDescent="0.35">
      <c r="A60" s="27" t="s">
        <v>100</v>
      </c>
      <c r="B60" s="38">
        <v>2</v>
      </c>
      <c r="C60" s="38">
        <v>0</v>
      </c>
      <c r="D60" s="38">
        <v>4</v>
      </c>
      <c r="E60" s="38">
        <v>8</v>
      </c>
      <c r="F60" s="38">
        <v>2</v>
      </c>
      <c r="G60" s="38" t="s">
        <v>147</v>
      </c>
      <c r="H60" s="25">
        <v>10</v>
      </c>
      <c r="I60" s="25" t="s">
        <v>88</v>
      </c>
      <c r="J60" s="36" t="s">
        <v>384</v>
      </c>
      <c r="K60" s="749">
        <v>93438200</v>
      </c>
      <c r="L60" s="749">
        <v>94312740</v>
      </c>
      <c r="M60" s="749">
        <v>103921690</v>
      </c>
      <c r="N60" s="45">
        <v>127000000</v>
      </c>
      <c r="O60" s="45"/>
      <c r="P60" s="45"/>
      <c r="Q60" s="45">
        <f>SUM(N60+O60-P60)</f>
        <v>127000000</v>
      </c>
      <c r="R60" s="266"/>
      <c r="S60" s="266"/>
      <c r="T60" s="266"/>
      <c r="U60" s="266"/>
      <c r="V60" s="63">
        <f>SUM(Q60)</f>
        <v>127000000</v>
      </c>
      <c r="W60" s="63"/>
      <c r="X60" s="256">
        <f>SUM(U60)</f>
        <v>0</v>
      </c>
      <c r="Y60" s="268"/>
      <c r="Z60" s="63">
        <f>SUM(Q60-R60-T60-V60-W60-X60-Y60)</f>
        <v>0</v>
      </c>
      <c r="AA60" s="63"/>
      <c r="AB60" s="63"/>
      <c r="AC60" s="63">
        <f t="shared" si="35"/>
        <v>0</v>
      </c>
      <c r="AD60" s="268"/>
      <c r="AE60" s="268"/>
      <c r="AF60" s="268" t="s">
        <v>36</v>
      </c>
      <c r="AG60" s="628">
        <v>67747745</v>
      </c>
      <c r="AH60" s="269" t="e">
        <f>AB60/(AB60+AE60+AF60)</f>
        <v>#VALUE!</v>
      </c>
      <c r="AI60" s="270"/>
      <c r="AJ60" s="271"/>
      <c r="AK60" s="272" t="e">
        <f>SUM(AD60-AE60-#REF!-#REF!)</f>
        <v>#REF!</v>
      </c>
      <c r="AL60" s="273">
        <f>SUM(Q60-(AD60+X60))/Q60</f>
        <v>1</v>
      </c>
      <c r="AM60" s="180"/>
      <c r="AN60" s="330"/>
      <c r="AO60" s="331"/>
      <c r="AP60" s="335"/>
      <c r="AQ60" s="77"/>
      <c r="AR60" s="332">
        <f>SUM(Q60-AG60)</f>
        <v>59252255</v>
      </c>
      <c r="AS60" s="333"/>
      <c r="AT60" s="635">
        <v>11000000</v>
      </c>
      <c r="AU60" s="635">
        <f t="shared" ref="AU60:AU62" si="36">SUM(AT60*5)</f>
        <v>55000000</v>
      </c>
      <c r="AV60" s="334">
        <f>SUM(AR60-AU60)</f>
        <v>4252255</v>
      </c>
    </row>
    <row r="61" spans="1:49" s="28" customFormat="1" ht="36" x14ac:dyDescent="0.35">
      <c r="A61" s="27" t="s">
        <v>100</v>
      </c>
      <c r="B61" s="38">
        <v>2</v>
      </c>
      <c r="C61" s="38">
        <v>0</v>
      </c>
      <c r="D61" s="38">
        <v>4</v>
      </c>
      <c r="E61" s="38">
        <v>8</v>
      </c>
      <c r="F61" s="38">
        <v>5</v>
      </c>
      <c r="G61" s="38" t="s">
        <v>147</v>
      </c>
      <c r="H61" s="25">
        <v>10</v>
      </c>
      <c r="I61" s="25" t="s">
        <v>88</v>
      </c>
      <c r="J61" s="36" t="s">
        <v>385</v>
      </c>
      <c r="K61" s="749">
        <v>38584988</v>
      </c>
      <c r="L61" s="749">
        <v>37647973</v>
      </c>
      <c r="M61" s="749">
        <v>29818737</v>
      </c>
      <c r="N61" s="45">
        <v>19000000</v>
      </c>
      <c r="O61" s="45"/>
      <c r="P61" s="45"/>
      <c r="Q61" s="45">
        <f>SUM(N61+O61-P61)</f>
        <v>19000000</v>
      </c>
      <c r="R61" s="266"/>
      <c r="S61" s="266"/>
      <c r="T61" s="266"/>
      <c r="U61" s="266"/>
      <c r="V61" s="63">
        <f>SUM(Q61)</f>
        <v>19000000</v>
      </c>
      <c r="W61" s="63"/>
      <c r="X61" s="256">
        <f>SUM(U61)</f>
        <v>0</v>
      </c>
      <c r="Y61" s="268"/>
      <c r="Z61" s="63">
        <f>SUM(Q61-R61-T61-V61-W61-X61-Y61)</f>
        <v>0</v>
      </c>
      <c r="AA61" s="63"/>
      <c r="AB61" s="63"/>
      <c r="AC61" s="63">
        <f t="shared" si="35"/>
        <v>0</v>
      </c>
      <c r="AD61" s="268"/>
      <c r="AE61" s="268"/>
      <c r="AF61" s="268" t="s">
        <v>36</v>
      </c>
      <c r="AG61" s="628">
        <v>8810960</v>
      </c>
      <c r="AH61" s="269" t="e">
        <f>AB61/(AB61+AE61+AF61)</f>
        <v>#VALUE!</v>
      </c>
      <c r="AI61" s="270"/>
      <c r="AJ61" s="271"/>
      <c r="AK61" s="272" t="e">
        <f>SUM(AD61-AE61-#REF!-#REF!)</f>
        <v>#REF!</v>
      </c>
      <c r="AL61" s="273">
        <f>SUM(Q61-(AD61+X61))/Q61</f>
        <v>1</v>
      </c>
      <c r="AM61" s="180"/>
      <c r="AN61" s="330"/>
      <c r="AO61" s="331"/>
      <c r="AP61" s="335"/>
      <c r="AQ61" s="77"/>
      <c r="AR61" s="332">
        <f>SUM(Q61-AG61)</f>
        <v>10189040</v>
      </c>
      <c r="AS61" s="333"/>
      <c r="AT61" s="635">
        <v>1500000</v>
      </c>
      <c r="AU61" s="635">
        <f t="shared" si="36"/>
        <v>7500000</v>
      </c>
      <c r="AV61" s="334">
        <f>SUM(AR61-AU61)</f>
        <v>2689040</v>
      </c>
    </row>
    <row r="62" spans="1:49" s="28" customFormat="1" ht="58.5" customHeight="1" x14ac:dyDescent="0.35">
      <c r="A62" s="27" t="s">
        <v>100</v>
      </c>
      <c r="B62" s="38">
        <v>2</v>
      </c>
      <c r="C62" s="38">
        <v>0</v>
      </c>
      <c r="D62" s="38">
        <v>4</v>
      </c>
      <c r="E62" s="38">
        <v>8</v>
      </c>
      <c r="F62" s="38">
        <v>6</v>
      </c>
      <c r="G62" s="38"/>
      <c r="H62" s="25">
        <v>10</v>
      </c>
      <c r="I62" s="25" t="s">
        <v>88</v>
      </c>
      <c r="J62" s="36" t="s">
        <v>386</v>
      </c>
      <c r="K62" s="749">
        <v>122363650</v>
      </c>
      <c r="L62" s="749">
        <v>119445871</v>
      </c>
      <c r="M62" s="749">
        <v>113763193</v>
      </c>
      <c r="N62" s="45">
        <v>115000000</v>
      </c>
      <c r="O62" s="45">
        <v>14650000</v>
      </c>
      <c r="P62" s="45"/>
      <c r="Q62" s="45">
        <f>SUM(N62+O62-P62)</f>
        <v>129650000</v>
      </c>
      <c r="R62" s="266"/>
      <c r="S62" s="266"/>
      <c r="T62" s="266"/>
      <c r="U62" s="266"/>
      <c r="V62" s="63">
        <f>SUM(Q62)</f>
        <v>129650000</v>
      </c>
      <c r="W62" s="63"/>
      <c r="X62" s="256">
        <f>SUM(U62)</f>
        <v>0</v>
      </c>
      <c r="Y62" s="268"/>
      <c r="Z62" s="63">
        <f>SUM(Q62-R62-T62-V62-W62-X62-Y62)</f>
        <v>0</v>
      </c>
      <c r="AA62" s="63"/>
      <c r="AB62" s="63"/>
      <c r="AC62" s="63">
        <f t="shared" si="35"/>
        <v>0</v>
      </c>
      <c r="AD62" s="268"/>
      <c r="AE62" s="268"/>
      <c r="AF62" s="268" t="s">
        <v>36</v>
      </c>
      <c r="AG62" s="628">
        <v>60178017</v>
      </c>
      <c r="AH62" s="269" t="e">
        <f>AB62/(AB62+AE62+AF62)</f>
        <v>#VALUE!</v>
      </c>
      <c r="AI62" s="270"/>
      <c r="AJ62" s="271"/>
      <c r="AK62" s="272" t="e">
        <f>SUM(AD62-AE62-#REF!-#REF!)</f>
        <v>#REF!</v>
      </c>
      <c r="AL62" s="273">
        <f>SUM(Q62-(AD62+X62))/Q62</f>
        <v>1</v>
      </c>
      <c r="AM62" s="180"/>
      <c r="AN62" s="330"/>
      <c r="AO62" s="331"/>
      <c r="AP62" s="77"/>
      <c r="AQ62" s="77"/>
      <c r="AR62" s="332">
        <f>SUM(Q62-AG62)</f>
        <v>69471983</v>
      </c>
      <c r="AS62" s="333"/>
      <c r="AT62" s="635">
        <v>9500000</v>
      </c>
      <c r="AU62" s="635">
        <f t="shared" si="36"/>
        <v>47500000</v>
      </c>
      <c r="AV62" s="334">
        <f>SUM(AR62-AU62)</f>
        <v>21971983</v>
      </c>
    </row>
    <row r="63" spans="1:49" s="28" customFormat="1" ht="26.25" x14ac:dyDescent="0.35">
      <c r="A63" s="27"/>
      <c r="B63" s="32"/>
      <c r="C63" s="32"/>
      <c r="D63" s="32"/>
      <c r="E63" s="32"/>
      <c r="F63" s="32"/>
      <c r="G63" s="32"/>
      <c r="H63" s="33"/>
      <c r="I63" s="33"/>
      <c r="J63" s="35" t="s">
        <v>387</v>
      </c>
      <c r="K63" s="277"/>
      <c r="L63" s="277"/>
      <c r="M63" s="277"/>
      <c r="N63" s="278">
        <f>SUM(N59:N62)</f>
        <v>271000000</v>
      </c>
      <c r="O63" s="278">
        <f>SUM(O59:O62)</f>
        <v>14650000</v>
      </c>
      <c r="P63" s="278">
        <f>SUM(P59:P62)</f>
        <v>0</v>
      </c>
      <c r="Q63" s="278">
        <f>SUM(Q59:Q62)</f>
        <v>285650000</v>
      </c>
      <c r="R63" s="49"/>
      <c r="S63" s="49"/>
      <c r="T63" s="49"/>
      <c r="U63" s="49"/>
      <c r="V63" s="39">
        <f>SUM(V59:V62)</f>
        <v>285650000</v>
      </c>
      <c r="W63" s="39">
        <f t="shared" ref="W63:AE63" si="37">SUM(W59:W62)</f>
        <v>0</v>
      </c>
      <c r="X63" s="336">
        <f t="shared" si="37"/>
        <v>0</v>
      </c>
      <c r="Y63" s="39">
        <f t="shared" si="37"/>
        <v>0</v>
      </c>
      <c r="Z63" s="39">
        <f t="shared" si="37"/>
        <v>0</v>
      </c>
      <c r="AA63" s="39">
        <f t="shared" si="37"/>
        <v>0</v>
      </c>
      <c r="AB63" s="39">
        <f t="shared" si="37"/>
        <v>0</v>
      </c>
      <c r="AC63" s="39">
        <f t="shared" si="37"/>
        <v>0</v>
      </c>
      <c r="AD63" s="39">
        <f t="shared" si="37"/>
        <v>0</v>
      </c>
      <c r="AE63" s="39">
        <f t="shared" si="37"/>
        <v>0</v>
      </c>
      <c r="AF63" s="282"/>
      <c r="AG63" s="280"/>
      <c r="AH63" s="292"/>
      <c r="AI63" s="282"/>
      <c r="AJ63" s="39"/>
      <c r="AK63" s="283"/>
      <c r="AL63" s="284">
        <f>SUM(Q63-(AD63+X63))/Q63</f>
        <v>1</v>
      </c>
      <c r="AM63" s="337"/>
      <c r="AN63" s="338">
        <f>SUM(AN59:AN62)</f>
        <v>0</v>
      </c>
      <c r="AO63" s="286"/>
      <c r="AP63" s="287"/>
      <c r="AQ63" s="287"/>
      <c r="AR63" s="339">
        <f>SUM(AR59:AR62)</f>
        <v>143033166</v>
      </c>
      <c r="AS63" s="340"/>
      <c r="AT63" s="341">
        <f>SUM(AT59:AT62)</f>
        <v>22950000</v>
      </c>
      <c r="AU63" s="341">
        <f>SUM(AU59:AU62)</f>
        <v>114750000</v>
      </c>
      <c r="AV63" s="342">
        <f>SUM(AR63-AU63)</f>
        <v>28283166</v>
      </c>
    </row>
    <row r="64" spans="1:49" s="28" customFormat="1" ht="36" customHeight="1" x14ac:dyDescent="0.35">
      <c r="A64" s="27"/>
      <c r="B64" s="800" t="s">
        <v>388</v>
      </c>
      <c r="C64" s="800"/>
      <c r="D64" s="800"/>
      <c r="E64" s="800"/>
      <c r="F64" s="800"/>
      <c r="G64" s="800"/>
      <c r="H64" s="800"/>
      <c r="I64" s="800"/>
      <c r="J64" s="800"/>
      <c r="K64" s="25"/>
      <c r="L64" s="25"/>
      <c r="M64" s="25"/>
      <c r="N64" s="50"/>
      <c r="O64" s="50"/>
      <c r="P64" s="50"/>
      <c r="Q64" s="50"/>
      <c r="R64" s="50"/>
      <c r="S64" s="50"/>
      <c r="T64" s="50"/>
      <c r="U64" s="50"/>
      <c r="V64" s="64"/>
      <c r="W64" s="64"/>
      <c r="X64" s="294"/>
      <c r="Y64" s="64"/>
      <c r="Z64" s="64"/>
      <c r="AA64" s="64"/>
      <c r="AB64" s="64"/>
      <c r="AC64" s="64"/>
      <c r="AD64" s="64"/>
      <c r="AE64" s="64"/>
      <c r="AF64" s="64"/>
      <c r="AG64" s="629"/>
      <c r="AH64" s="269"/>
      <c r="AI64" s="313"/>
      <c r="AJ64" s="271"/>
      <c r="AK64" s="272" t="e">
        <f>SUM(AD64-AE64-#REF!-#REF!)</f>
        <v>#REF!</v>
      </c>
      <c r="AL64" s="314"/>
      <c r="AM64" s="228"/>
      <c r="AN64" s="260"/>
      <c r="AO64" s="261"/>
      <c r="AP64" s="77"/>
      <c r="AQ64" s="77"/>
      <c r="AR64" s="343"/>
      <c r="AS64" s="344"/>
      <c r="AT64" s="345"/>
      <c r="AU64" s="346"/>
      <c r="AV64" s="347">
        <f>SUM(AV59:AV62)</f>
        <v>28283166</v>
      </c>
    </row>
    <row r="65" spans="1:47" s="28" customFormat="1" ht="36" x14ac:dyDescent="0.35">
      <c r="A65" s="27" t="s">
        <v>100</v>
      </c>
      <c r="B65" s="38">
        <v>2</v>
      </c>
      <c r="C65" s="38">
        <v>0</v>
      </c>
      <c r="D65" s="38">
        <v>4</v>
      </c>
      <c r="E65" s="38">
        <v>9</v>
      </c>
      <c r="F65" s="38">
        <v>4</v>
      </c>
      <c r="G65" s="38" t="s">
        <v>147</v>
      </c>
      <c r="H65" s="25">
        <v>10</v>
      </c>
      <c r="I65" s="25" t="s">
        <v>88</v>
      </c>
      <c r="J65" s="42" t="s">
        <v>389</v>
      </c>
      <c r="K65" s="688">
        <v>13728734</v>
      </c>
      <c r="L65" s="688">
        <v>10285849</v>
      </c>
      <c r="M65" s="688">
        <v>9005472</v>
      </c>
      <c r="N65" s="45">
        <v>100000</v>
      </c>
      <c r="O65" s="45"/>
      <c r="P65" s="45"/>
      <c r="Q65" s="45">
        <f>SUM(N65+O65-P65)</f>
        <v>100000</v>
      </c>
      <c r="R65" s="45"/>
      <c r="S65" s="45"/>
      <c r="T65" s="45"/>
      <c r="U65" s="45"/>
      <c r="V65" s="63"/>
      <c r="W65" s="63"/>
      <c r="X65" s="256">
        <f>SUM(U65)</f>
        <v>0</v>
      </c>
      <c r="Y65" s="268"/>
      <c r="Z65" s="63">
        <f>SUM(Q65-R65-T65-V65-W65-X65-Y65)</f>
        <v>100000</v>
      </c>
      <c r="AA65" s="699"/>
      <c r="AB65" s="349"/>
      <c r="AC65" s="66">
        <f t="shared" si="35"/>
        <v>0</v>
      </c>
      <c r="AD65" s="268">
        <f>SUM(Z65-AB65)</f>
        <v>100000</v>
      </c>
      <c r="AE65" s="268"/>
      <c r="AF65" s="268">
        <f>SUM(AD65-AE65)</f>
        <v>100000</v>
      </c>
      <c r="AG65" s="628">
        <f>SUM(R65+T65+V65+Y65+W65+AB65)</f>
        <v>0</v>
      </c>
      <c r="AH65" s="269">
        <f>AB65/(AB65+AE65+AF65)</f>
        <v>0</v>
      </c>
      <c r="AI65" s="270"/>
      <c r="AJ65" s="271"/>
      <c r="AK65" s="272" t="e">
        <f>SUM(AD65-AE65-#REF!-#REF!)</f>
        <v>#REF!</v>
      </c>
      <c r="AL65" s="273">
        <f t="shared" ref="AL65:AL70" si="38">SUM(Q65-(AD65+X65))/Q65</f>
        <v>0</v>
      </c>
      <c r="AM65" s="174"/>
      <c r="AN65" s="275" t="s">
        <v>148</v>
      </c>
      <c r="AO65" s="274"/>
      <c r="AP65" s="77"/>
      <c r="AQ65" s="77"/>
      <c r="AR65" s="124">
        <v>33543747</v>
      </c>
      <c r="AU65" s="125"/>
    </row>
    <row r="66" spans="1:47" s="28" customFormat="1" ht="36" x14ac:dyDescent="0.35">
      <c r="A66" s="27" t="s">
        <v>100</v>
      </c>
      <c r="B66" s="38">
        <v>2</v>
      </c>
      <c r="C66" s="38">
        <v>0</v>
      </c>
      <c r="D66" s="38">
        <v>4</v>
      </c>
      <c r="E66" s="38">
        <v>9</v>
      </c>
      <c r="F66" s="38">
        <v>7</v>
      </c>
      <c r="G66" s="38" t="s">
        <v>147</v>
      </c>
      <c r="H66" s="25">
        <v>10</v>
      </c>
      <c r="I66" s="25" t="s">
        <v>88</v>
      </c>
      <c r="J66" s="42" t="s">
        <v>390</v>
      </c>
      <c r="K66" s="749">
        <v>12101320</v>
      </c>
      <c r="L66" s="749">
        <v>767811</v>
      </c>
      <c r="M66" s="749">
        <v>8155898</v>
      </c>
      <c r="N66" s="45">
        <v>100000</v>
      </c>
      <c r="O66" s="45"/>
      <c r="P66" s="45"/>
      <c r="Q66" s="45">
        <f>SUM(N66+O66-P66)</f>
        <v>100000</v>
      </c>
      <c r="R66" s="45"/>
      <c r="S66" s="45"/>
      <c r="T66" s="45"/>
      <c r="U66" s="45"/>
      <c r="V66" s="63"/>
      <c r="W66" s="63"/>
      <c r="X66" s="256">
        <f>SUM(U66)</f>
        <v>0</v>
      </c>
      <c r="Y66" s="268"/>
      <c r="Z66" s="63">
        <f>SUM(Q66-R66-T66-V66-W66-X66-Y66)</f>
        <v>100000</v>
      </c>
      <c r="AA66" s="699"/>
      <c r="AB66" s="349"/>
      <c r="AC66" s="66">
        <f t="shared" si="35"/>
        <v>0</v>
      </c>
      <c r="AD66" s="268">
        <f>SUM(Z66-AB66)</f>
        <v>100000</v>
      </c>
      <c r="AE66" s="268"/>
      <c r="AF66" s="268">
        <f>SUM(AD66-AE66)</f>
        <v>100000</v>
      </c>
      <c r="AG66" s="628">
        <f>SUM(R66+T66+V66+Y66+W66+AB66)</f>
        <v>0</v>
      </c>
      <c r="AH66" s="269">
        <f>AB66/(AB66+AE66+AF66)</f>
        <v>0</v>
      </c>
      <c r="AI66" s="270"/>
      <c r="AJ66" s="271"/>
      <c r="AK66" s="272" t="e">
        <f>SUM(AD66-AE66-#REF!-#REF!)</f>
        <v>#REF!</v>
      </c>
      <c r="AL66" s="273">
        <f t="shared" si="38"/>
        <v>0</v>
      </c>
      <c r="AM66" s="174"/>
      <c r="AN66" s="275"/>
      <c r="AO66" s="274"/>
      <c r="AP66" s="77"/>
      <c r="AQ66" s="77"/>
      <c r="AR66" s="124">
        <v>44476845</v>
      </c>
      <c r="AU66" s="125"/>
    </row>
    <row r="67" spans="1:47" s="28" customFormat="1" ht="79.900000000000006" customHeight="1" x14ac:dyDescent="0.35">
      <c r="A67" s="27" t="s">
        <v>100</v>
      </c>
      <c r="B67" s="38">
        <v>2</v>
      </c>
      <c r="C67" s="38">
        <v>0</v>
      </c>
      <c r="D67" s="38">
        <v>4</v>
      </c>
      <c r="E67" s="38">
        <v>9</v>
      </c>
      <c r="F67" s="38">
        <v>8</v>
      </c>
      <c r="G67" s="38" t="s">
        <v>147</v>
      </c>
      <c r="H67" s="25">
        <v>10</v>
      </c>
      <c r="I67" s="25" t="s">
        <v>88</v>
      </c>
      <c r="J67" s="42" t="s">
        <v>391</v>
      </c>
      <c r="K67" s="749">
        <v>44027913</v>
      </c>
      <c r="L67" s="749">
        <v>15481207</v>
      </c>
      <c r="M67" s="749">
        <v>34743449</v>
      </c>
      <c r="N67" s="45">
        <v>14000000</v>
      </c>
      <c r="O67" s="45">
        <v>3000000</v>
      </c>
      <c r="P67" s="45"/>
      <c r="Q67" s="45">
        <f>SUM(N67+O67-P67)</f>
        <v>17000000</v>
      </c>
      <c r="R67" s="46"/>
      <c r="S67" s="45"/>
      <c r="T67" s="45"/>
      <c r="U67" s="45"/>
      <c r="V67" s="63"/>
      <c r="W67" s="63"/>
      <c r="X67" s="256">
        <f>SUM(U67)</f>
        <v>0</v>
      </c>
      <c r="Y67" s="268"/>
      <c r="Z67" s="63">
        <f>SUM(Q67-R67-T67-V67-W67-X67-Y67)</f>
        <v>17000000</v>
      </c>
      <c r="AA67" s="740">
        <v>14050182</v>
      </c>
      <c r="AB67" s="744">
        <v>4130593</v>
      </c>
      <c r="AC67" s="740">
        <f t="shared" si="35"/>
        <v>9919589</v>
      </c>
      <c r="AD67" s="741">
        <f>SUM(Z67-AB67)</f>
        <v>12869407</v>
      </c>
      <c r="AE67" s="741">
        <v>7840000</v>
      </c>
      <c r="AF67" s="268">
        <f>SUM(AD67-AE67)</f>
        <v>5029407</v>
      </c>
      <c r="AG67" s="628">
        <f>SUM(R67+T67+V67+Y67+W67+AB67)</f>
        <v>4130593</v>
      </c>
      <c r="AH67" s="269">
        <f>AB67/(AB67+AE67+AF67)</f>
        <v>0.24297605882352941</v>
      </c>
      <c r="AI67" s="270"/>
      <c r="AJ67" s="271"/>
      <c r="AK67" s="272" t="e">
        <f>SUM(AD67-AE67-#REF!-#REF!)</f>
        <v>#REF!</v>
      </c>
      <c r="AL67" s="273">
        <f t="shared" si="38"/>
        <v>0.24297605882352941</v>
      </c>
      <c r="AM67" s="174"/>
      <c r="AN67" s="275"/>
      <c r="AO67" s="274" t="s">
        <v>1261</v>
      </c>
      <c r="AP67" s="77"/>
      <c r="AQ67" s="77"/>
      <c r="AR67" s="124">
        <f>12389041+40249911</f>
        <v>52638952</v>
      </c>
      <c r="AU67" s="125"/>
    </row>
    <row r="68" spans="1:47" s="28" customFormat="1" ht="36" x14ac:dyDescent="0.35">
      <c r="A68" s="27" t="s">
        <v>100</v>
      </c>
      <c r="B68" s="38">
        <v>2</v>
      </c>
      <c r="C68" s="38">
        <v>0</v>
      </c>
      <c r="D68" s="38">
        <v>4</v>
      </c>
      <c r="E68" s="38">
        <v>9</v>
      </c>
      <c r="F68" s="38">
        <v>9</v>
      </c>
      <c r="G68" s="38" t="s">
        <v>147</v>
      </c>
      <c r="H68" s="25">
        <v>10</v>
      </c>
      <c r="I68" s="25" t="s">
        <v>88</v>
      </c>
      <c r="J68" s="42" t="s">
        <v>392</v>
      </c>
      <c r="K68" s="749">
        <v>10358060</v>
      </c>
      <c r="L68" s="749">
        <v>767811</v>
      </c>
      <c r="M68" s="749">
        <v>9175385</v>
      </c>
      <c r="N68" s="45">
        <v>100000</v>
      </c>
      <c r="O68" s="45"/>
      <c r="P68" s="45"/>
      <c r="Q68" s="45">
        <f>SUM(N68+O68-P68)</f>
        <v>100000</v>
      </c>
      <c r="R68" s="45"/>
      <c r="S68" s="45"/>
      <c r="T68" s="45"/>
      <c r="U68" s="45"/>
      <c r="V68" s="63"/>
      <c r="W68" s="63"/>
      <c r="X68" s="256">
        <f>SUM(U68)</f>
        <v>0</v>
      </c>
      <c r="Y68" s="268"/>
      <c r="Z68" s="63">
        <f>SUM(Q68-R68-T68-V68-W68-X68-Y68)</f>
        <v>100000</v>
      </c>
      <c r="AA68" s="699"/>
      <c r="AB68" s="348"/>
      <c r="AC68" s="66">
        <f t="shared" si="35"/>
        <v>0</v>
      </c>
      <c r="AD68" s="268">
        <f>SUM(Z68-AB68)</f>
        <v>100000</v>
      </c>
      <c r="AE68" s="268"/>
      <c r="AF68" s="268">
        <f>SUM(AD68-AE68)</f>
        <v>100000</v>
      </c>
      <c r="AG68" s="628">
        <f>SUM(R68+T68+V68+Y68+W68+AB68)</f>
        <v>0</v>
      </c>
      <c r="AH68" s="269">
        <f>AB68/(AB68+AE68+AF68)</f>
        <v>0</v>
      </c>
      <c r="AI68" s="270"/>
      <c r="AJ68" s="271"/>
      <c r="AK68" s="272" t="e">
        <f>SUM(AD68-AE68-#REF!-#REF!)</f>
        <v>#REF!</v>
      </c>
      <c r="AL68" s="273">
        <f t="shared" si="38"/>
        <v>0</v>
      </c>
      <c r="AM68" s="174"/>
      <c r="AN68" s="275"/>
      <c r="AO68" s="274"/>
      <c r="AP68" s="77"/>
      <c r="AQ68" s="77"/>
      <c r="AR68" s="124">
        <v>28373181</v>
      </c>
      <c r="AU68" s="125"/>
    </row>
    <row r="69" spans="1:47" s="28" customFormat="1" ht="36" x14ac:dyDescent="0.35">
      <c r="A69" s="27" t="s">
        <v>100</v>
      </c>
      <c r="B69" s="38">
        <v>2</v>
      </c>
      <c r="C69" s="38">
        <v>0</v>
      </c>
      <c r="D69" s="38">
        <v>4</v>
      </c>
      <c r="E69" s="38">
        <v>9</v>
      </c>
      <c r="F69" s="38">
        <v>13</v>
      </c>
      <c r="G69" s="38" t="s">
        <v>147</v>
      </c>
      <c r="H69" s="25">
        <v>10</v>
      </c>
      <c r="I69" s="25" t="s">
        <v>88</v>
      </c>
      <c r="J69" s="42" t="s">
        <v>393</v>
      </c>
      <c r="K69" s="749">
        <v>1239245</v>
      </c>
      <c r="L69" s="749">
        <v>668488</v>
      </c>
      <c r="M69" s="749">
        <v>820983</v>
      </c>
      <c r="N69" s="45">
        <v>100000</v>
      </c>
      <c r="O69" s="45"/>
      <c r="P69" s="45"/>
      <c r="Q69" s="45">
        <f>SUM(N69+O69-P69)</f>
        <v>100000</v>
      </c>
      <c r="R69" s="45"/>
      <c r="S69" s="45"/>
      <c r="T69" s="45"/>
      <c r="U69" s="45"/>
      <c r="V69" s="63"/>
      <c r="W69" s="63"/>
      <c r="X69" s="256">
        <f>SUM(U69)</f>
        <v>0</v>
      </c>
      <c r="Y69" s="268"/>
      <c r="Z69" s="63">
        <f>SUM(Q69-R69-T69-V69-W69-X69-Y69)</f>
        <v>100000</v>
      </c>
      <c r="AA69" s="699"/>
      <c r="AB69" s="349"/>
      <c r="AC69" s="66">
        <v>6488206</v>
      </c>
      <c r="AD69" s="268">
        <f>SUM(Z69-AB69)</f>
        <v>100000</v>
      </c>
      <c r="AE69" s="268"/>
      <c r="AF69" s="268">
        <f>SUM(AD69-AE69)</f>
        <v>100000</v>
      </c>
      <c r="AG69" s="628">
        <f>SUM(R69+T69+V69+Y69+W69+AB69)</f>
        <v>0</v>
      </c>
      <c r="AH69" s="269">
        <f>AB69/(AB69+AE69+AF69)</f>
        <v>0</v>
      </c>
      <c r="AI69" s="270"/>
      <c r="AJ69" s="271"/>
      <c r="AK69" s="272" t="e">
        <f>SUM(AD69-AE69-#REF!-#REF!)</f>
        <v>#REF!</v>
      </c>
      <c r="AL69" s="273">
        <f t="shared" si="38"/>
        <v>0</v>
      </c>
      <c r="AM69" s="174"/>
      <c r="AN69" s="275"/>
      <c r="AO69" s="274"/>
      <c r="AP69" s="77"/>
      <c r="AQ69" s="77"/>
      <c r="AR69" s="350">
        <v>5561276</v>
      </c>
      <c r="AU69" s="125"/>
    </row>
    <row r="70" spans="1:47" s="34" customFormat="1" ht="69.75" x14ac:dyDescent="0.35">
      <c r="A70" s="31"/>
      <c r="B70" s="32"/>
      <c r="C70" s="32"/>
      <c r="D70" s="32"/>
      <c r="E70" s="32"/>
      <c r="F70" s="32"/>
      <c r="G70" s="32"/>
      <c r="H70" s="33"/>
      <c r="I70" s="33"/>
      <c r="J70" s="35" t="s">
        <v>394</v>
      </c>
      <c r="K70" s="277">
        <f t="shared" ref="K70:Q70" si="39">SUM(K65:K69)</f>
        <v>81455272</v>
      </c>
      <c r="L70" s="277">
        <f t="shared" si="39"/>
        <v>27971166</v>
      </c>
      <c r="M70" s="277">
        <f t="shared" si="39"/>
        <v>61901187</v>
      </c>
      <c r="N70" s="278">
        <f t="shared" si="39"/>
        <v>14400000</v>
      </c>
      <c r="O70" s="278">
        <f t="shared" si="39"/>
        <v>3000000</v>
      </c>
      <c r="P70" s="278">
        <f t="shared" si="39"/>
        <v>0</v>
      </c>
      <c r="Q70" s="278">
        <f t="shared" si="39"/>
        <v>17400000</v>
      </c>
      <c r="R70" s="351"/>
      <c r="S70" s="351">
        <f t="shared" ref="S70:AD70" si="40">SUM(S65:S69)</f>
        <v>0</v>
      </c>
      <c r="T70" s="351">
        <f t="shared" si="40"/>
        <v>0</v>
      </c>
      <c r="U70" s="351">
        <f t="shared" si="40"/>
        <v>0</v>
      </c>
      <c r="V70" s="39">
        <f t="shared" si="40"/>
        <v>0</v>
      </c>
      <c r="W70" s="39">
        <f t="shared" si="40"/>
        <v>0</v>
      </c>
      <c r="X70" s="256">
        <f t="shared" si="40"/>
        <v>0</v>
      </c>
      <c r="Y70" s="282">
        <f t="shared" si="40"/>
        <v>0</v>
      </c>
      <c r="Z70" s="39">
        <f t="shared" si="40"/>
        <v>17400000</v>
      </c>
      <c r="AA70" s="39">
        <f t="shared" si="40"/>
        <v>14050182</v>
      </c>
      <c r="AB70" s="39">
        <f t="shared" si="40"/>
        <v>4130593</v>
      </c>
      <c r="AC70" s="39">
        <f t="shared" si="40"/>
        <v>16407795</v>
      </c>
      <c r="AD70" s="39">
        <f t="shared" si="40"/>
        <v>13269407</v>
      </c>
      <c r="AE70" s="282">
        <f>SUM(AE65:AE69)</f>
        <v>7840000</v>
      </c>
      <c r="AF70" s="282">
        <f>SUM(AF65:AF69)</f>
        <v>5429407</v>
      </c>
      <c r="AG70" s="282">
        <f>SUM(AG65:AG69)</f>
        <v>4130593</v>
      </c>
      <c r="AH70" s="311">
        <f>SUM(AB70/Z70)</f>
        <v>0.23739040229885058</v>
      </c>
      <c r="AI70" s="282"/>
      <c r="AJ70" s="352" t="s">
        <v>395</v>
      </c>
      <c r="AK70" s="283" t="e">
        <f>SUM(AD70-AE70-#REF!-#REF!)</f>
        <v>#REF!</v>
      </c>
      <c r="AL70" s="284">
        <f t="shared" si="38"/>
        <v>0.23739040229885058</v>
      </c>
      <c r="AM70" s="206"/>
      <c r="AN70" s="285"/>
      <c r="AO70" s="286"/>
      <c r="AP70" s="287"/>
      <c r="AQ70" s="287"/>
      <c r="AR70" s="288"/>
      <c r="AU70" s="289"/>
    </row>
    <row r="71" spans="1:47" s="28" customFormat="1" ht="33" customHeight="1" x14ac:dyDescent="0.35">
      <c r="A71" s="353"/>
      <c r="B71" s="797" t="s">
        <v>396</v>
      </c>
      <c r="C71" s="798"/>
      <c r="D71" s="798"/>
      <c r="E71" s="798"/>
      <c r="F71" s="798"/>
      <c r="G71" s="798"/>
      <c r="H71" s="798"/>
      <c r="I71" s="798"/>
      <c r="J71" s="801"/>
      <c r="K71" s="25"/>
      <c r="L71" s="25"/>
      <c r="M71" s="25"/>
      <c r="N71" s="50"/>
      <c r="O71" s="50"/>
      <c r="P71" s="50"/>
      <c r="Q71" s="50"/>
      <c r="R71" s="50"/>
      <c r="S71" s="50"/>
      <c r="T71" s="50"/>
      <c r="U71" s="50"/>
      <c r="V71" s="64"/>
      <c r="W71" s="64"/>
      <c r="X71" s="294"/>
      <c r="Y71" s="64"/>
      <c r="Z71" s="64"/>
      <c r="AA71" s="64"/>
      <c r="AB71" s="64"/>
      <c r="AC71" s="64"/>
      <c r="AD71" s="354"/>
      <c r="AE71" s="64"/>
      <c r="AF71" s="64"/>
      <c r="AG71" s="629"/>
      <c r="AH71" s="269"/>
      <c r="AI71" s="313"/>
      <c r="AJ71" s="271"/>
      <c r="AK71" s="272" t="e">
        <f>SUM(AD71-AE71-#REF!-#REF!)</f>
        <v>#REF!</v>
      </c>
      <c r="AL71" s="314"/>
      <c r="AM71" s="228"/>
      <c r="AN71" s="260"/>
      <c r="AO71" s="261"/>
      <c r="AP71" s="77"/>
      <c r="AQ71" s="77"/>
      <c r="AR71" s="124"/>
      <c r="AU71" s="125"/>
    </row>
    <row r="72" spans="1:47" s="28" customFormat="1" ht="41.25" customHeight="1" x14ac:dyDescent="0.35">
      <c r="A72" s="27"/>
      <c r="B72" s="38"/>
      <c r="C72" s="38"/>
      <c r="D72" s="38"/>
      <c r="E72" s="38"/>
      <c r="F72" s="38"/>
      <c r="G72" s="38"/>
      <c r="H72" s="25"/>
      <c r="I72" s="25"/>
      <c r="J72" s="36" t="s">
        <v>397</v>
      </c>
      <c r="K72" s="749">
        <v>868840</v>
      </c>
      <c r="L72" s="749">
        <v>500000</v>
      </c>
      <c r="M72" s="749"/>
      <c r="N72" s="45"/>
      <c r="O72" s="45"/>
      <c r="P72" s="45"/>
      <c r="Q72" s="45">
        <f>SUM(N72+O72-P72)</f>
        <v>0</v>
      </c>
      <c r="R72" s="266"/>
      <c r="S72" s="266"/>
      <c r="T72" s="266"/>
      <c r="U72" s="266"/>
      <c r="V72" s="63"/>
      <c r="W72" s="63"/>
      <c r="X72" s="256">
        <f>SUM(U72)</f>
        <v>0</v>
      </c>
      <c r="Y72" s="268"/>
      <c r="Z72" s="63">
        <f>SUM(Q72-R72-T72-V72-W72-X72-Y72)</f>
        <v>0</v>
      </c>
      <c r="AA72" s="63"/>
      <c r="AB72" s="63"/>
      <c r="AC72" s="63">
        <f t="shared" si="35"/>
        <v>0</v>
      </c>
      <c r="AD72" s="268">
        <f>SUM(Z72-AB72)</f>
        <v>0</v>
      </c>
      <c r="AE72" s="268"/>
      <c r="AF72" s="268">
        <f>SUM(AD72-AE72)</f>
        <v>0</v>
      </c>
      <c r="AG72" s="628">
        <f>SUM(R72+T72+V72+Y72+W72+AB72)</f>
        <v>0</v>
      </c>
      <c r="AH72" s="269"/>
      <c r="AI72" s="270"/>
      <c r="AJ72" s="271"/>
      <c r="AK72" s="272" t="e">
        <f>SUM(AD72-AE72-#REF!-#REF!)</f>
        <v>#REF!</v>
      </c>
      <c r="AL72" s="273" t="e">
        <f>SUM(Q72-(AD72+X72))/Q72</f>
        <v>#DIV/0!</v>
      </c>
      <c r="AM72" s="180"/>
      <c r="AN72" s="330"/>
      <c r="AO72" s="355"/>
      <c r="AP72" s="77"/>
      <c r="AQ72" s="77"/>
      <c r="AR72" s="124"/>
      <c r="AU72" s="125"/>
    </row>
    <row r="73" spans="1:47" s="28" customFormat="1" ht="36" x14ac:dyDescent="0.35">
      <c r="A73" s="27" t="s">
        <v>100</v>
      </c>
      <c r="B73" s="38">
        <v>2</v>
      </c>
      <c r="C73" s="38">
        <v>0</v>
      </c>
      <c r="D73" s="38">
        <v>4</v>
      </c>
      <c r="E73" s="38">
        <v>10</v>
      </c>
      <c r="F73" s="38">
        <v>2</v>
      </c>
      <c r="G73" s="38" t="s">
        <v>147</v>
      </c>
      <c r="H73" s="25">
        <v>10</v>
      </c>
      <c r="I73" s="25" t="s">
        <v>88</v>
      </c>
      <c r="J73" s="36" t="s">
        <v>398</v>
      </c>
      <c r="K73" s="749">
        <v>5444300</v>
      </c>
      <c r="L73" s="749">
        <v>5236662</v>
      </c>
      <c r="M73" s="749">
        <v>5612740</v>
      </c>
      <c r="N73" s="45">
        <v>6778000</v>
      </c>
      <c r="O73" s="45"/>
      <c r="P73" s="45"/>
      <c r="Q73" s="45">
        <f>SUM(N73+O73-P73)</f>
        <v>6778000</v>
      </c>
      <c r="R73" s="266"/>
      <c r="S73" s="266"/>
      <c r="T73" s="266"/>
      <c r="U73" s="266"/>
      <c r="V73" s="63">
        <v>6778000</v>
      </c>
      <c r="W73" s="63"/>
      <c r="X73" s="256">
        <f>SUM(U73)</f>
        <v>0</v>
      </c>
      <c r="Y73" s="268"/>
      <c r="Z73" s="63">
        <f>SUM(Q73-R73-T73-V73-W73-X73-Y73)</f>
        <v>0</v>
      </c>
      <c r="AA73" s="63"/>
      <c r="AB73" s="63"/>
      <c r="AC73" s="63">
        <f t="shared" si="35"/>
        <v>0</v>
      </c>
      <c r="AD73" s="268">
        <f>SUM(Z73-AB73)</f>
        <v>0</v>
      </c>
      <c r="AE73" s="268"/>
      <c r="AF73" s="268">
        <f>SUM(AD73-AE73)</f>
        <v>0</v>
      </c>
      <c r="AG73" s="628">
        <f>SUM(R73+T73+V73+Y73+W73+AB73)</f>
        <v>6778000</v>
      </c>
      <c r="AH73" s="269"/>
      <c r="AI73" s="270"/>
      <c r="AJ73" s="271"/>
      <c r="AK73" s="272" t="e">
        <f>SUM(AD73-AE73-#REF!-#REF!)</f>
        <v>#REF!</v>
      </c>
      <c r="AL73" s="273">
        <f>SUM(Q73-(AD73+X73))/Q73</f>
        <v>1</v>
      </c>
      <c r="AM73" s="180"/>
      <c r="AN73" s="330"/>
      <c r="AO73" s="355"/>
      <c r="AP73" s="77"/>
      <c r="AQ73" s="77"/>
      <c r="AR73" s="124"/>
      <c r="AU73" s="125"/>
    </row>
    <row r="74" spans="1:47" s="34" customFormat="1" x14ac:dyDescent="0.35">
      <c r="A74" s="31"/>
      <c r="B74" s="32"/>
      <c r="C74" s="32"/>
      <c r="D74" s="32"/>
      <c r="E74" s="32"/>
      <c r="F74" s="32"/>
      <c r="G74" s="32"/>
      <c r="H74" s="33"/>
      <c r="I74" s="33"/>
      <c r="J74" s="35" t="s">
        <v>399</v>
      </c>
      <c r="K74" s="277">
        <f>SUM(K72:K73)</f>
        <v>6313140</v>
      </c>
      <c r="L74" s="277">
        <f>SUM(L72:L73)</f>
        <v>5736662</v>
      </c>
      <c r="M74" s="277">
        <f>SUM(M72:M73)</f>
        <v>5612740</v>
      </c>
      <c r="N74" s="278">
        <f>SUM(N73)</f>
        <v>6778000</v>
      </c>
      <c r="O74" s="278">
        <f>SUM(O73)</f>
        <v>0</v>
      </c>
      <c r="P74" s="278">
        <f>SUM(P73)</f>
        <v>0</v>
      </c>
      <c r="Q74" s="278">
        <f>SUM(Q73)</f>
        <v>6778000</v>
      </c>
      <c r="R74" s="351"/>
      <c r="S74" s="351">
        <f>SUM(S72:S73)</f>
        <v>0</v>
      </c>
      <c r="T74" s="351">
        <f>SUM(T72:T73)</f>
        <v>0</v>
      </c>
      <c r="U74" s="351">
        <f>SUM(U72:U73)</f>
        <v>0</v>
      </c>
      <c r="V74" s="39">
        <f>SUM(V72:V73)</f>
        <v>6778000</v>
      </c>
      <c r="W74" s="39">
        <f t="shared" ref="W74:AB74" si="41">SUM(W73)</f>
        <v>0</v>
      </c>
      <c r="X74" s="256">
        <f>SUM(X71:X73)</f>
        <v>0</v>
      </c>
      <c r="Y74" s="282">
        <f>SUM(Y71:Y73)</f>
        <v>0</v>
      </c>
      <c r="Z74" s="39">
        <f t="shared" si="41"/>
        <v>0</v>
      </c>
      <c r="AA74" s="39">
        <f t="shared" si="41"/>
        <v>0</v>
      </c>
      <c r="AB74" s="39">
        <f t="shared" si="41"/>
        <v>0</v>
      </c>
      <c r="AC74" s="39">
        <f t="shared" si="35"/>
        <v>0</v>
      </c>
      <c r="AD74" s="282">
        <f>SUM(AD71:AD73)</f>
        <v>0</v>
      </c>
      <c r="AE74" s="282">
        <f>SUM(AE71:AE73)</f>
        <v>0</v>
      </c>
      <c r="AF74" s="282">
        <f>SUM(AF71:AF73)</f>
        <v>0</v>
      </c>
      <c r="AG74" s="280"/>
      <c r="AH74" s="311"/>
      <c r="AI74" s="282"/>
      <c r="AJ74" s="39"/>
      <c r="AK74" s="283" t="e">
        <f>SUM(AD74-AE74-#REF!-#REF!)</f>
        <v>#REF!</v>
      </c>
      <c r="AL74" s="284">
        <f>SUM(Q74-(AD74+X74))/Q74</f>
        <v>1</v>
      </c>
      <c r="AM74" s="337"/>
      <c r="AN74" s="356">
        <f>SUM(AN72:AN73)</f>
        <v>0</v>
      </c>
      <c r="AO74" s="286"/>
      <c r="AP74" s="287"/>
      <c r="AQ74" s="287"/>
      <c r="AR74" s="288"/>
      <c r="AU74" s="289"/>
    </row>
    <row r="75" spans="1:47" s="28" customFormat="1" ht="39.75" customHeight="1" x14ac:dyDescent="0.35">
      <c r="A75" s="27"/>
      <c r="B75" s="797" t="s">
        <v>125</v>
      </c>
      <c r="C75" s="798"/>
      <c r="D75" s="798"/>
      <c r="E75" s="798"/>
      <c r="F75" s="798"/>
      <c r="G75" s="798"/>
      <c r="H75" s="798"/>
      <c r="I75" s="798"/>
      <c r="J75" s="798"/>
      <c r="K75" s="25"/>
      <c r="L75" s="25"/>
      <c r="M75" s="25"/>
      <c r="N75" s="50"/>
      <c r="O75" s="50"/>
      <c r="P75" s="50"/>
      <c r="Q75" s="50"/>
      <c r="R75" s="50"/>
      <c r="S75" s="50"/>
      <c r="T75" s="50"/>
      <c r="U75" s="50"/>
      <c r="V75" s="64"/>
      <c r="W75" s="64"/>
      <c r="X75" s="294"/>
      <c r="Y75" s="64"/>
      <c r="Z75" s="64"/>
      <c r="AA75" s="64"/>
      <c r="AB75" s="64"/>
      <c r="AC75" s="64"/>
      <c r="AD75" s="64"/>
      <c r="AE75" s="64"/>
      <c r="AF75" s="64"/>
      <c r="AG75" s="629"/>
      <c r="AH75" s="269"/>
      <c r="AI75" s="357"/>
      <c r="AJ75" s="358"/>
      <c r="AK75" s="272" t="e">
        <f>SUM(AD75-AE75-#REF!-#REF!)</f>
        <v>#REF!</v>
      </c>
      <c r="AL75" s="259"/>
      <c r="AM75" s="228"/>
      <c r="AN75" s="260"/>
      <c r="AO75" s="261"/>
      <c r="AP75" s="77"/>
      <c r="AQ75" s="77"/>
      <c r="AR75" s="124"/>
      <c r="AU75" s="125"/>
    </row>
    <row r="76" spans="1:47" s="28" customFormat="1" ht="36" x14ac:dyDescent="0.35">
      <c r="A76" s="27" t="s">
        <v>100</v>
      </c>
      <c r="B76" s="38">
        <v>2</v>
      </c>
      <c r="C76" s="38">
        <v>0</v>
      </c>
      <c r="D76" s="38">
        <v>4</v>
      </c>
      <c r="E76" s="38">
        <v>11</v>
      </c>
      <c r="F76" s="38">
        <v>1</v>
      </c>
      <c r="G76" s="38" t="s">
        <v>147</v>
      </c>
      <c r="H76" s="25">
        <v>10</v>
      </c>
      <c r="I76" s="25" t="s">
        <v>88</v>
      </c>
      <c r="J76" s="42" t="s">
        <v>400</v>
      </c>
      <c r="K76" s="799">
        <v>29008131.350000001</v>
      </c>
      <c r="L76" s="799">
        <v>20292720.050000001</v>
      </c>
      <c r="M76" s="321">
        <v>4233988</v>
      </c>
      <c r="N76" s="45"/>
      <c r="O76" s="45"/>
      <c r="P76" s="45"/>
      <c r="Q76" s="45">
        <f>SUM(N76+O76-P76)</f>
        <v>0</v>
      </c>
      <c r="R76" s="45"/>
      <c r="S76" s="45"/>
      <c r="T76" s="45"/>
      <c r="U76" s="45"/>
      <c r="V76" s="63"/>
      <c r="W76" s="63"/>
      <c r="X76" s="256">
        <f>SUM(U76)</f>
        <v>0</v>
      </c>
      <c r="Y76" s="268"/>
      <c r="Z76" s="63">
        <f>SUM(Q76-R76-T76-V76-W76-X76-Y76)</f>
        <v>0</v>
      </c>
      <c r="AA76" s="614"/>
      <c r="AB76" s="614"/>
      <c r="AC76" s="614">
        <f t="shared" si="35"/>
        <v>0</v>
      </c>
      <c r="AD76" s="615">
        <f>SUM(Z76-AB76)</f>
        <v>0</v>
      </c>
      <c r="AE76" s="615"/>
      <c r="AF76" s="615">
        <f>SUM(AD76-AE76)</f>
        <v>0</v>
      </c>
      <c r="AG76" s="628">
        <f>SUM(R76+T76+V76+Y76+W76+AB76)</f>
        <v>0</v>
      </c>
      <c r="AH76" s="616"/>
      <c r="AI76" s="615"/>
      <c r="AJ76" s="617"/>
      <c r="AK76" s="618" t="e">
        <f>SUM(AD76-AE76-#REF!-#REF!)</f>
        <v>#REF!</v>
      </c>
      <c r="AL76" s="619" t="e">
        <f>SUM(Q76-(AD76+X76))/Q76</f>
        <v>#DIV/0!</v>
      </c>
      <c r="AM76" s="174"/>
      <c r="AN76" s="260"/>
      <c r="AO76" s="274"/>
      <c r="AP76" s="77"/>
      <c r="AQ76" s="77"/>
      <c r="AR76" s="124"/>
      <c r="AU76" s="125"/>
    </row>
    <row r="77" spans="1:47" s="28" customFormat="1" ht="36" x14ac:dyDescent="0.35">
      <c r="A77" s="27" t="s">
        <v>100</v>
      </c>
      <c r="B77" s="38">
        <v>2</v>
      </c>
      <c r="C77" s="38">
        <v>0</v>
      </c>
      <c r="D77" s="38">
        <v>4</v>
      </c>
      <c r="E77" s="38">
        <v>11</v>
      </c>
      <c r="F77" s="38">
        <v>1</v>
      </c>
      <c r="G77" s="38" t="s">
        <v>147</v>
      </c>
      <c r="H77" s="25">
        <v>10</v>
      </c>
      <c r="I77" s="25" t="s">
        <v>88</v>
      </c>
      <c r="J77" s="36" t="s">
        <v>401</v>
      </c>
      <c r="K77" s="799"/>
      <c r="L77" s="799"/>
      <c r="M77" s="321">
        <v>4799781.63</v>
      </c>
      <c r="N77" s="45">
        <v>0</v>
      </c>
      <c r="O77" s="45"/>
      <c r="P77" s="45"/>
      <c r="Q77" s="45">
        <f>SUM(N77+O77-P77)</f>
        <v>0</v>
      </c>
      <c r="R77" s="45"/>
      <c r="S77" s="45"/>
      <c r="T77" s="45"/>
      <c r="U77" s="45"/>
      <c r="V77" s="63"/>
      <c r="W77" s="63"/>
      <c r="X77" s="256">
        <f>SUM(U77)</f>
        <v>0</v>
      </c>
      <c r="Y77" s="268"/>
      <c r="Z77" s="63">
        <f>SUM(Q77-R77-T77-V77-W77-X77-Y77)</f>
        <v>0</v>
      </c>
      <c r="AA77" s="614"/>
      <c r="AB77" s="614"/>
      <c r="AC77" s="614">
        <f t="shared" si="35"/>
        <v>0</v>
      </c>
      <c r="AD77" s="615"/>
      <c r="AE77" s="615"/>
      <c r="AF77" s="615">
        <f>SUM(AD77-AE77)</f>
        <v>0</v>
      </c>
      <c r="AG77" s="628">
        <f>SUM(R77+T77+V77+Y77+W77+AB77)</f>
        <v>0</v>
      </c>
      <c r="AH77" s="616"/>
      <c r="AI77" s="615"/>
      <c r="AJ77" s="617"/>
      <c r="AK77" s="618" t="e">
        <f>SUM(AD77-AE77-#REF!-#REF!)</f>
        <v>#REF!</v>
      </c>
      <c r="AL77" s="619" t="e">
        <f>SUM(Q77-(AD77+X77))/Q77</f>
        <v>#DIV/0!</v>
      </c>
      <c r="AM77" s="180"/>
      <c r="AN77" s="330"/>
      <c r="AO77" s="355"/>
      <c r="AP77" s="77"/>
      <c r="AQ77" s="77"/>
      <c r="AR77" s="124"/>
      <c r="AU77" s="125"/>
    </row>
    <row r="78" spans="1:47" s="28" customFormat="1" ht="75" customHeight="1" x14ac:dyDescent="0.35">
      <c r="A78" s="27" t="s">
        <v>100</v>
      </c>
      <c r="B78" s="38">
        <v>2</v>
      </c>
      <c r="C78" s="38">
        <v>0</v>
      </c>
      <c r="D78" s="38">
        <v>4</v>
      </c>
      <c r="E78" s="38">
        <v>11</v>
      </c>
      <c r="F78" s="38">
        <v>2</v>
      </c>
      <c r="G78" s="38" t="s">
        <v>147</v>
      </c>
      <c r="H78" s="25">
        <v>10</v>
      </c>
      <c r="I78" s="25" t="s">
        <v>88</v>
      </c>
      <c r="J78" s="42" t="s">
        <v>402</v>
      </c>
      <c r="K78" s="799">
        <v>19651579</v>
      </c>
      <c r="L78" s="799">
        <v>37367844.5</v>
      </c>
      <c r="M78" s="749">
        <v>11937409</v>
      </c>
      <c r="N78" s="45">
        <v>35000000</v>
      </c>
      <c r="O78" s="45"/>
      <c r="P78" s="45"/>
      <c r="Q78" s="45">
        <f>SUM(N78+O78-P78)</f>
        <v>35000000</v>
      </c>
      <c r="R78" s="45"/>
      <c r="S78" s="45"/>
      <c r="T78" s="45"/>
      <c r="U78" s="45"/>
      <c r="V78" s="63"/>
      <c r="W78" s="63"/>
      <c r="X78" s="256">
        <f>SUM(U78)</f>
        <v>0</v>
      </c>
      <c r="Y78" s="268"/>
      <c r="Z78" s="63">
        <f>SUM(Q78-R78-T78-V78-W78-X78-Y78)</f>
        <v>35000000</v>
      </c>
      <c r="AA78" s="698">
        <v>35000000</v>
      </c>
      <c r="AB78" s="336">
        <v>35000000</v>
      </c>
      <c r="AC78" s="63">
        <f t="shared" si="35"/>
        <v>0</v>
      </c>
      <c r="AD78" s="268">
        <f>SUM(Z78-AB78)</f>
        <v>0</v>
      </c>
      <c r="AE78" s="268"/>
      <c r="AF78" s="268">
        <f>SUM(AD78-AE78)</f>
        <v>0</v>
      </c>
      <c r="AG78" s="628">
        <f>SUM(R78+T78+V78+Y78+W78+AB78)</f>
        <v>35000000</v>
      </c>
      <c r="AH78" s="269">
        <f>AB78/(AB78+AE78+AF78)</f>
        <v>1</v>
      </c>
      <c r="AI78" s="270"/>
      <c r="AJ78" s="271"/>
      <c r="AK78" s="272" t="e">
        <f>SUM(AD78-AE78-#REF!-#REF!)</f>
        <v>#REF!</v>
      </c>
      <c r="AL78" s="273">
        <f>SUM(Q78-(AD78+X78))/Q78</f>
        <v>1</v>
      </c>
      <c r="AM78" s="174"/>
      <c r="AN78" s="359"/>
      <c r="AO78" s="274"/>
      <c r="AP78" s="77">
        <v>10000000</v>
      </c>
      <c r="AQ78" s="77"/>
      <c r="AR78" s="262"/>
      <c r="AU78" s="125"/>
    </row>
    <row r="79" spans="1:47" s="28" customFormat="1" ht="36" x14ac:dyDescent="0.35">
      <c r="A79" s="27" t="s">
        <v>100</v>
      </c>
      <c r="B79" s="38">
        <v>2</v>
      </c>
      <c r="C79" s="38">
        <v>0</v>
      </c>
      <c r="D79" s="38">
        <v>4</v>
      </c>
      <c r="E79" s="38">
        <v>11</v>
      </c>
      <c r="F79" s="38">
        <v>2</v>
      </c>
      <c r="G79" s="38" t="s">
        <v>147</v>
      </c>
      <c r="H79" s="25">
        <v>10</v>
      </c>
      <c r="I79" s="25" t="s">
        <v>88</v>
      </c>
      <c r="J79" s="36" t="s">
        <v>115</v>
      </c>
      <c r="K79" s="799"/>
      <c r="L79" s="799"/>
      <c r="M79" s="749">
        <v>12823734</v>
      </c>
      <c r="N79" s="46">
        <v>20000000</v>
      </c>
      <c r="O79" s="45"/>
      <c r="P79" s="45"/>
      <c r="Q79" s="45">
        <f>SUM(N79+O79-P79)</f>
        <v>20000000</v>
      </c>
      <c r="R79" s="360">
        <v>4000000</v>
      </c>
      <c r="S79" s="361">
        <v>15413566</v>
      </c>
      <c r="T79" s="362">
        <f>6079044.5+2265991.5</f>
        <v>8345036</v>
      </c>
      <c r="U79" s="360">
        <f>SUM(S79-T79)</f>
        <v>7068530</v>
      </c>
      <c r="V79" s="63">
        <v>586434</v>
      </c>
      <c r="W79" s="63"/>
      <c r="X79" s="256">
        <f>SUM(U79)</f>
        <v>7068530</v>
      </c>
      <c r="Y79" s="268"/>
      <c r="Z79" s="63">
        <f>SUM(Q79-R79-T79-V79-W79-X79-Y79)</f>
        <v>0</v>
      </c>
      <c r="AA79" s="63"/>
      <c r="AB79" s="63"/>
      <c r="AC79" s="63">
        <f t="shared" si="35"/>
        <v>0</v>
      </c>
      <c r="AD79" s="268">
        <f>SUM(Z79-AB79)</f>
        <v>0</v>
      </c>
      <c r="AE79" s="268">
        <v>0</v>
      </c>
      <c r="AF79" s="268">
        <f>SUM(AD79-AE79)</f>
        <v>0</v>
      </c>
      <c r="AG79" s="628">
        <f>SUM(R79+T79+V79+Y79+W79+AB79)</f>
        <v>12931470</v>
      </c>
      <c r="AH79" s="269"/>
      <c r="AI79" s="270"/>
      <c r="AJ79" s="271"/>
      <c r="AK79" s="272" t="e">
        <f>SUM(AD79-AE79-#REF!-#REF!)</f>
        <v>#REF!</v>
      </c>
      <c r="AL79" s="273">
        <f>SUM(Q79-(AD79+X79))/Q79</f>
        <v>0.64657350000000002</v>
      </c>
      <c r="AM79" s="180"/>
      <c r="AN79" s="330"/>
      <c r="AO79" s="355"/>
      <c r="AP79" s="77"/>
      <c r="AQ79" s="77"/>
      <c r="AR79" s="124"/>
      <c r="AU79" s="125"/>
    </row>
    <row r="80" spans="1:47" s="34" customFormat="1" x14ac:dyDescent="0.35">
      <c r="A80" s="31"/>
      <c r="B80" s="32"/>
      <c r="C80" s="32"/>
      <c r="D80" s="32"/>
      <c r="E80" s="32"/>
      <c r="F80" s="32"/>
      <c r="G80" s="32"/>
      <c r="H80" s="33"/>
      <c r="I80" s="33"/>
      <c r="J80" s="35" t="s">
        <v>137</v>
      </c>
      <c r="K80" s="277">
        <f t="shared" ref="K80:AB80" si="42">SUM(K76:K79)</f>
        <v>48659710.350000001</v>
      </c>
      <c r="L80" s="277">
        <f t="shared" si="42"/>
        <v>57660564.549999997</v>
      </c>
      <c r="M80" s="277">
        <f t="shared" si="42"/>
        <v>33794912.629999995</v>
      </c>
      <c r="N80" s="278">
        <f t="shared" si="42"/>
        <v>55000000</v>
      </c>
      <c r="O80" s="278">
        <f t="shared" si="42"/>
        <v>0</v>
      </c>
      <c r="P80" s="278">
        <f t="shared" si="42"/>
        <v>0</v>
      </c>
      <c r="Q80" s="278">
        <f t="shared" si="42"/>
        <v>55000000</v>
      </c>
      <c r="R80" s="49">
        <f t="shared" si="42"/>
        <v>4000000</v>
      </c>
      <c r="S80" s="49">
        <f t="shared" si="42"/>
        <v>15413566</v>
      </c>
      <c r="T80" s="49">
        <f t="shared" si="42"/>
        <v>8345036</v>
      </c>
      <c r="U80" s="49">
        <f t="shared" si="42"/>
        <v>7068530</v>
      </c>
      <c r="V80" s="39">
        <f t="shared" si="42"/>
        <v>586434</v>
      </c>
      <c r="W80" s="39">
        <f t="shared" si="42"/>
        <v>0</v>
      </c>
      <c r="X80" s="256">
        <f t="shared" si="42"/>
        <v>7068530</v>
      </c>
      <c r="Y80" s="282">
        <f t="shared" si="42"/>
        <v>0</v>
      </c>
      <c r="Z80" s="39">
        <f t="shared" si="42"/>
        <v>35000000</v>
      </c>
      <c r="AA80" s="39">
        <f t="shared" si="42"/>
        <v>35000000</v>
      </c>
      <c r="AB80" s="39">
        <f t="shared" si="42"/>
        <v>35000000</v>
      </c>
      <c r="AC80" s="39">
        <f t="shared" si="35"/>
        <v>0</v>
      </c>
      <c r="AD80" s="282">
        <f>SUM(AD76:AD79)</f>
        <v>0</v>
      </c>
      <c r="AE80" s="282">
        <f>SUM(AE76:AE79)</f>
        <v>0</v>
      </c>
      <c r="AF80" s="282">
        <f>SUM(AF76:AF79)</f>
        <v>0</v>
      </c>
      <c r="AG80" s="280"/>
      <c r="AH80" s="292">
        <f>SUM(AB80/Z80)</f>
        <v>1</v>
      </c>
      <c r="AI80" s="282"/>
      <c r="AJ80" s="39"/>
      <c r="AK80" s="283" t="e">
        <f>SUM(AD80-AE80-#REF!-#REF!)</f>
        <v>#REF!</v>
      </c>
      <c r="AL80" s="281">
        <v>0.71452223892019795</v>
      </c>
      <c r="AM80" s="337"/>
      <c r="AN80" s="338">
        <f>SUM(AN76:AN79)</f>
        <v>0</v>
      </c>
      <c r="AO80" s="286"/>
      <c r="AP80" s="287"/>
      <c r="AQ80" s="287"/>
      <c r="AR80" s="288"/>
      <c r="AU80" s="289"/>
    </row>
    <row r="81" spans="1:47" s="28" customFormat="1" ht="46.5" customHeight="1" x14ac:dyDescent="0.35">
      <c r="A81" s="27"/>
      <c r="B81" s="797" t="s">
        <v>403</v>
      </c>
      <c r="C81" s="798"/>
      <c r="D81" s="798"/>
      <c r="E81" s="798"/>
      <c r="F81" s="798"/>
      <c r="G81" s="798"/>
      <c r="H81" s="798"/>
      <c r="I81" s="798"/>
      <c r="J81" s="798"/>
      <c r="K81" s="25"/>
      <c r="L81" s="25"/>
      <c r="M81" s="25"/>
      <c r="N81" s="50"/>
      <c r="O81" s="50"/>
      <c r="P81" s="50"/>
      <c r="Q81" s="50"/>
      <c r="R81" s="50"/>
      <c r="S81" s="50"/>
      <c r="T81" s="50"/>
      <c r="U81" s="50"/>
      <c r="V81" s="64"/>
      <c r="W81" s="64"/>
      <c r="X81" s="294"/>
      <c r="Y81" s="64"/>
      <c r="Z81" s="64"/>
      <c r="AA81" s="64"/>
      <c r="AB81" s="64"/>
      <c r="AC81" s="64"/>
      <c r="AD81" s="64"/>
      <c r="AE81" s="64"/>
      <c r="AF81" s="64"/>
      <c r="AG81" s="629"/>
      <c r="AH81" s="269"/>
      <c r="AI81" s="313"/>
      <c r="AJ81" s="271"/>
      <c r="AK81" s="272" t="e">
        <f>SUM(AD81-AE81-#REF!-#REF!)</f>
        <v>#REF!</v>
      </c>
      <c r="AL81" s="314"/>
      <c r="AM81" s="228"/>
      <c r="AN81" s="260"/>
      <c r="AO81" s="261"/>
      <c r="AP81" s="77"/>
      <c r="AQ81" s="77"/>
      <c r="AR81" s="124"/>
      <c r="AU81" s="125"/>
    </row>
    <row r="82" spans="1:47" s="28" customFormat="1" ht="46.5" x14ac:dyDescent="0.35">
      <c r="A82" s="27" t="s">
        <v>100</v>
      </c>
      <c r="B82" s="38">
        <v>2</v>
      </c>
      <c r="C82" s="38">
        <v>0</v>
      </c>
      <c r="D82" s="38">
        <v>4</v>
      </c>
      <c r="E82" s="38">
        <v>21</v>
      </c>
      <c r="F82" s="38">
        <v>4</v>
      </c>
      <c r="G82" s="38" t="s">
        <v>147</v>
      </c>
      <c r="H82" s="25">
        <v>10</v>
      </c>
      <c r="I82" s="25" t="s">
        <v>88</v>
      </c>
      <c r="J82" s="42" t="s">
        <v>404</v>
      </c>
      <c r="K82" s="749">
        <v>17194000</v>
      </c>
      <c r="L82" s="749">
        <v>19420850</v>
      </c>
      <c r="M82" s="749">
        <v>12708216</v>
      </c>
      <c r="N82" s="45">
        <v>30075000</v>
      </c>
      <c r="O82" s="45"/>
      <c r="P82" s="45"/>
      <c r="Q82" s="45">
        <f>SUM(N82+O82-P82)</f>
        <v>30075000</v>
      </c>
      <c r="R82" s="45"/>
      <c r="S82" s="45"/>
      <c r="T82" s="45"/>
      <c r="U82" s="45"/>
      <c r="V82" s="63"/>
      <c r="W82" s="63"/>
      <c r="X82" s="256">
        <f>SUM(U82)</f>
        <v>0</v>
      </c>
      <c r="Y82" s="268"/>
      <c r="Z82" s="63">
        <f>SUM(Q82-R82-T82-V82-W82-X82-Y82)</f>
        <v>30075000</v>
      </c>
      <c r="AA82" s="696">
        <v>30075000</v>
      </c>
      <c r="AB82" s="63">
        <v>8427000</v>
      </c>
      <c r="AC82" s="63">
        <f t="shared" si="35"/>
        <v>21648000</v>
      </c>
      <c r="AD82" s="268">
        <f>SUM(Z82-AB82)</f>
        <v>21648000</v>
      </c>
      <c r="AE82" s="256">
        <v>20000000</v>
      </c>
      <c r="AF82" s="268">
        <f>SUM(AD82-AE82)</f>
        <v>1648000</v>
      </c>
      <c r="AG82" s="628">
        <f>SUM(R82+T82+V82+Y82+W82+AB82)</f>
        <v>8427000</v>
      </c>
      <c r="AH82" s="269">
        <f>AB82/(AB82+AE82+AF82)</f>
        <v>0.28019950124688281</v>
      </c>
      <c r="AI82" s="270"/>
      <c r="AJ82" s="271"/>
      <c r="AK82" s="272" t="e">
        <f>SUM(AD82-AE82-#REF!-#REF!)</f>
        <v>#REF!</v>
      </c>
      <c r="AL82" s="273">
        <f>SUM(Q82-(AD82+X82))/Q82</f>
        <v>0.28019950124688281</v>
      </c>
      <c r="AM82" s="174"/>
      <c r="AN82" s="260"/>
      <c r="AO82" s="274" t="s">
        <v>1510</v>
      </c>
      <c r="AP82" s="77"/>
      <c r="AQ82" s="77"/>
      <c r="AR82" s="315"/>
      <c r="AU82" s="125"/>
    </row>
    <row r="83" spans="1:47" s="28" customFormat="1" ht="36" x14ac:dyDescent="0.35">
      <c r="A83" s="27" t="s">
        <v>100</v>
      </c>
      <c r="B83" s="38">
        <v>2</v>
      </c>
      <c r="C83" s="38">
        <v>0</v>
      </c>
      <c r="D83" s="38">
        <v>4</v>
      </c>
      <c r="E83" s="38">
        <v>21</v>
      </c>
      <c r="F83" s="38">
        <v>5</v>
      </c>
      <c r="G83" s="38" t="s">
        <v>147</v>
      </c>
      <c r="H83" s="25">
        <v>10</v>
      </c>
      <c r="I83" s="25" t="s">
        <v>88</v>
      </c>
      <c r="J83" s="42" t="s">
        <v>153</v>
      </c>
      <c r="K83" s="749">
        <v>0</v>
      </c>
      <c r="L83" s="749">
        <v>110312960</v>
      </c>
      <c r="M83" s="749"/>
      <c r="N83" s="45"/>
      <c r="O83" s="45"/>
      <c r="P83" s="45"/>
      <c r="Q83" s="45">
        <f>SUM(N83+O83-P83)</f>
        <v>0</v>
      </c>
      <c r="R83" s="45"/>
      <c r="S83" s="45"/>
      <c r="T83" s="45"/>
      <c r="U83" s="45"/>
      <c r="V83" s="63"/>
      <c r="W83" s="63"/>
      <c r="X83" s="256">
        <f>SUM(U83)</f>
        <v>0</v>
      </c>
      <c r="Y83" s="268"/>
      <c r="Z83" s="63">
        <f>SUM(Q83-R83-T83-V83-W83-X83-Y83)</f>
        <v>0</v>
      </c>
      <c r="AA83" s="696"/>
      <c r="AB83" s="63"/>
      <c r="AC83" s="63">
        <f t="shared" si="35"/>
        <v>0</v>
      </c>
      <c r="AD83" s="268">
        <f>SUM(Z83-AB83)</f>
        <v>0</v>
      </c>
      <c r="AE83" s="268"/>
      <c r="AF83" s="268">
        <f>SUM(AD83-AE83)</f>
        <v>0</v>
      </c>
      <c r="AG83" s="628">
        <f>SUM(R83+T83+V83+Y83+W83+AB83)</f>
        <v>0</v>
      </c>
      <c r="AH83" s="269"/>
      <c r="AI83" s="270"/>
      <c r="AJ83" s="271"/>
      <c r="AK83" s="272" t="e">
        <f>SUM(AD83-AE83-#REF!-#REF!)</f>
        <v>#REF!</v>
      </c>
      <c r="AL83" s="273" t="e">
        <f>SUM(Q83-(AD83+X83))/Q83</f>
        <v>#DIV/0!</v>
      </c>
      <c r="AM83" s="174"/>
      <c r="AN83" s="260"/>
      <c r="AO83" s="274"/>
      <c r="AP83" s="77"/>
      <c r="AQ83" s="77"/>
      <c r="AR83" s="320"/>
      <c r="AU83" s="125"/>
    </row>
    <row r="84" spans="1:47" s="28" customFormat="1" ht="36" x14ac:dyDescent="0.35">
      <c r="A84" s="27" t="s">
        <v>100</v>
      </c>
      <c r="B84" s="38">
        <v>2</v>
      </c>
      <c r="C84" s="38">
        <v>0</v>
      </c>
      <c r="D84" s="38">
        <v>4</v>
      </c>
      <c r="E84" s="38">
        <v>21</v>
      </c>
      <c r="F84" s="38">
        <v>8</v>
      </c>
      <c r="G84" s="38" t="s">
        <v>147</v>
      </c>
      <c r="H84" s="25">
        <v>10</v>
      </c>
      <c r="I84" s="25" t="s">
        <v>88</v>
      </c>
      <c r="J84" s="42" t="s">
        <v>126</v>
      </c>
      <c r="K84" s="749">
        <v>14847202</v>
      </c>
      <c r="L84" s="749">
        <v>17200000</v>
      </c>
      <c r="M84" s="749">
        <v>15676513</v>
      </c>
      <c r="N84" s="45">
        <v>17000000</v>
      </c>
      <c r="O84" s="45"/>
      <c r="P84" s="45"/>
      <c r="Q84" s="45">
        <f>SUM(N84+O84-P84)</f>
        <v>17000000</v>
      </c>
      <c r="R84" s="45"/>
      <c r="S84" s="45"/>
      <c r="T84" s="45"/>
      <c r="U84" s="45"/>
      <c r="V84" s="63"/>
      <c r="W84" s="63"/>
      <c r="X84" s="256">
        <f>SUM(U84)</f>
        <v>0</v>
      </c>
      <c r="Y84" s="268"/>
      <c r="Z84" s="63">
        <f>SUM(Q84-R84-T84-V84-W84-X84-Y84)</f>
        <v>17000000</v>
      </c>
      <c r="AA84" s="696">
        <v>17000000</v>
      </c>
      <c r="AB84" s="63"/>
      <c r="AC84" s="63">
        <f t="shared" si="35"/>
        <v>17000000</v>
      </c>
      <c r="AD84" s="268">
        <f>SUM(Z84-AB84)</f>
        <v>17000000</v>
      </c>
      <c r="AE84" s="268">
        <v>17000000</v>
      </c>
      <c r="AF84" s="268">
        <f>SUM(AD84-AE84)</f>
        <v>0</v>
      </c>
      <c r="AG84" s="628">
        <f>SUM(R84+T84+V84+Y84+W84+AB84)</f>
        <v>0</v>
      </c>
      <c r="AH84" s="269">
        <f>AB84/(AB84+AE84+AF84)</f>
        <v>0</v>
      </c>
      <c r="AI84" s="270"/>
      <c r="AJ84" s="271"/>
      <c r="AK84" s="272" t="e">
        <f>SUM(AD84-AE84-#REF!-#REF!)</f>
        <v>#REF!</v>
      </c>
      <c r="AL84" s="273">
        <f>SUM(Q84-(AD84+X84))/Q84</f>
        <v>0</v>
      </c>
      <c r="AM84" s="174"/>
      <c r="AN84" s="260"/>
      <c r="AO84" s="274"/>
      <c r="AP84" s="77"/>
      <c r="AQ84" s="77"/>
      <c r="AR84" s="124"/>
      <c r="AU84" s="125"/>
    </row>
    <row r="85" spans="1:47" s="34" customFormat="1" ht="28.5" x14ac:dyDescent="0.35">
      <c r="A85" s="31"/>
      <c r="B85" s="32"/>
      <c r="C85" s="32"/>
      <c r="D85" s="32"/>
      <c r="E85" s="32"/>
      <c r="F85" s="32"/>
      <c r="G85" s="32"/>
      <c r="H85" s="33"/>
      <c r="I85" s="33"/>
      <c r="J85" s="35" t="s">
        <v>405</v>
      </c>
      <c r="K85" s="277">
        <f t="shared" ref="K85:Q85" si="43">SUM(K82:K84)</f>
        <v>32041202</v>
      </c>
      <c r="L85" s="277">
        <f t="shared" si="43"/>
        <v>146933810</v>
      </c>
      <c r="M85" s="277">
        <f t="shared" si="43"/>
        <v>28384729</v>
      </c>
      <c r="N85" s="278">
        <f t="shared" si="43"/>
        <v>47075000</v>
      </c>
      <c r="O85" s="278">
        <f t="shared" si="43"/>
        <v>0</v>
      </c>
      <c r="P85" s="278">
        <f t="shared" si="43"/>
        <v>0</v>
      </c>
      <c r="Q85" s="278">
        <f t="shared" si="43"/>
        <v>47075000</v>
      </c>
      <c r="R85" s="351"/>
      <c r="S85" s="351">
        <f t="shared" ref="S85:AF85" si="44">SUM(S82:S84)</f>
        <v>0</v>
      </c>
      <c r="T85" s="351">
        <f t="shared" si="44"/>
        <v>0</v>
      </c>
      <c r="U85" s="351">
        <f t="shared" si="44"/>
        <v>0</v>
      </c>
      <c r="V85" s="39">
        <f t="shared" si="44"/>
        <v>0</v>
      </c>
      <c r="W85" s="39">
        <f t="shared" si="44"/>
        <v>0</v>
      </c>
      <c r="X85" s="336">
        <f t="shared" si="44"/>
        <v>0</v>
      </c>
      <c r="Y85" s="39">
        <f t="shared" si="44"/>
        <v>0</v>
      </c>
      <c r="Z85" s="39">
        <f t="shared" si="44"/>
        <v>47075000</v>
      </c>
      <c r="AA85" s="39">
        <f t="shared" si="44"/>
        <v>47075000</v>
      </c>
      <c r="AB85" s="39">
        <f t="shared" si="44"/>
        <v>8427000</v>
      </c>
      <c r="AC85" s="39">
        <f t="shared" si="44"/>
        <v>38648000</v>
      </c>
      <c r="AD85" s="39">
        <f t="shared" si="44"/>
        <v>38648000</v>
      </c>
      <c r="AE85" s="39">
        <f t="shared" si="44"/>
        <v>37000000</v>
      </c>
      <c r="AF85" s="39">
        <f t="shared" si="44"/>
        <v>1648000</v>
      </c>
      <c r="AG85" s="363"/>
      <c r="AH85" s="292">
        <f>SUM(AB85/Z85)</f>
        <v>0.17901221455124802</v>
      </c>
      <c r="AI85" s="39"/>
      <c r="AJ85" s="39"/>
      <c r="AK85" s="283" t="e">
        <f>SUM(AD85-AE85-#REF!-#REF!)</f>
        <v>#REF!</v>
      </c>
      <c r="AL85" s="284">
        <f>SUM(Q85-(AD85+X85))/Q85</f>
        <v>0.17901221455124802</v>
      </c>
      <c r="AM85" s="206"/>
      <c r="AN85" s="285"/>
      <c r="AO85" s="286"/>
      <c r="AP85" s="287"/>
      <c r="AQ85" s="287"/>
      <c r="AR85" s="288"/>
      <c r="AU85" s="289"/>
    </row>
    <row r="86" spans="1:47" s="119" customFormat="1" ht="51" customHeight="1" x14ac:dyDescent="0.35">
      <c r="A86" s="353"/>
      <c r="B86" s="797" t="s">
        <v>406</v>
      </c>
      <c r="C86" s="798"/>
      <c r="D86" s="798"/>
      <c r="E86" s="798"/>
      <c r="F86" s="798"/>
      <c r="G86" s="798"/>
      <c r="H86" s="798"/>
      <c r="I86" s="798"/>
      <c r="J86" s="801"/>
      <c r="K86" s="688"/>
      <c r="L86" s="688"/>
      <c r="M86" s="688"/>
      <c r="N86" s="45"/>
      <c r="O86" s="45"/>
      <c r="P86" s="45"/>
      <c r="Q86" s="45"/>
      <c r="R86" s="45"/>
      <c r="S86" s="45"/>
      <c r="T86" s="45"/>
      <c r="U86" s="45"/>
      <c r="V86" s="63"/>
      <c r="W86" s="63"/>
      <c r="X86" s="364"/>
      <c r="Y86" s="365"/>
      <c r="Z86" s="63">
        <v>0</v>
      </c>
      <c r="AA86" s="63"/>
      <c r="AB86" s="63"/>
      <c r="AC86" s="63"/>
      <c r="AD86" s="365"/>
      <c r="AE86" s="365"/>
      <c r="AF86" s="365"/>
      <c r="AG86" s="630"/>
      <c r="AH86" s="269"/>
      <c r="AI86" s="270"/>
      <c r="AJ86" s="271"/>
      <c r="AK86" s="272"/>
      <c r="AL86" s="273"/>
      <c r="AM86" s="174"/>
      <c r="AN86" s="330"/>
      <c r="AO86" s="274"/>
      <c r="AP86" s="77"/>
      <c r="AQ86" s="77"/>
      <c r="AR86" s="183"/>
      <c r="AU86" s="184"/>
    </row>
    <row r="87" spans="1:47" s="119" customFormat="1" ht="51" customHeight="1" x14ac:dyDescent="0.35">
      <c r="A87" s="366"/>
      <c r="B87" s="26">
        <v>2</v>
      </c>
      <c r="C87" s="26">
        <v>0</v>
      </c>
      <c r="D87" s="26">
        <v>4</v>
      </c>
      <c r="E87" s="26">
        <v>41</v>
      </c>
      <c r="F87" s="26">
        <v>13</v>
      </c>
      <c r="G87" s="26"/>
      <c r="H87" s="26">
        <v>10</v>
      </c>
      <c r="I87" s="26" t="s">
        <v>88</v>
      </c>
      <c r="J87" s="36" t="s">
        <v>406</v>
      </c>
      <c r="K87" s="749"/>
      <c r="L87" s="749"/>
      <c r="M87" s="749"/>
      <c r="N87" s="45">
        <v>1400000</v>
      </c>
      <c r="O87" s="45">
        <v>260000000</v>
      </c>
      <c r="P87" s="45"/>
      <c r="Q87" s="45">
        <f>SUM(N87+O87-P87)</f>
        <v>261400000</v>
      </c>
      <c r="R87" s="45"/>
      <c r="S87" s="45"/>
      <c r="T87" s="45"/>
      <c r="U87" s="45"/>
      <c r="V87" s="63"/>
      <c r="W87" s="63"/>
      <c r="X87" s="256">
        <f>SUM(U87)</f>
        <v>0</v>
      </c>
      <c r="Y87" s="365"/>
      <c r="Z87" s="63">
        <f>SUM(Q87-R87-T87-V87-W87-X87-Y87)</f>
        <v>261400000</v>
      </c>
      <c r="AA87" s="740">
        <v>240000000</v>
      </c>
      <c r="AB87" s="63"/>
      <c r="AC87" s="63">
        <f>SUM(AA87-AB87)</f>
        <v>240000000</v>
      </c>
      <c r="AD87" s="365">
        <f>SUM(Z87-AB87)</f>
        <v>261400000</v>
      </c>
      <c r="AE87" s="365">
        <v>240000000</v>
      </c>
      <c r="AF87" s="268">
        <f>SUM(AD87-AE87)</f>
        <v>21400000</v>
      </c>
      <c r="AG87" s="628">
        <f>SUM(R87+T87+V87+Y87+W87+AB87)</f>
        <v>0</v>
      </c>
      <c r="AH87" s="269"/>
      <c r="AI87" s="270"/>
      <c r="AJ87" s="271"/>
      <c r="AK87" s="272" t="e">
        <f>SUM(AD87-AE87-#REF!-#REF!)</f>
        <v>#REF!</v>
      </c>
      <c r="AL87" s="273">
        <f t="shared" ref="AL87:AL92" si="45">SUM(Q87-(AD87+X87))/Q87</f>
        <v>0</v>
      </c>
      <c r="AM87" s="174"/>
      <c r="AN87" s="367"/>
      <c r="AO87" s="274" t="s">
        <v>1407</v>
      </c>
      <c r="AP87" s="77"/>
      <c r="AQ87" s="77"/>
      <c r="AR87" s="183"/>
      <c r="AU87" s="184"/>
    </row>
    <row r="88" spans="1:47" s="119" customFormat="1" ht="51" customHeight="1" x14ac:dyDescent="0.35">
      <c r="A88" s="366"/>
      <c r="B88" s="32"/>
      <c r="C88" s="32"/>
      <c r="D88" s="32"/>
      <c r="E88" s="32"/>
      <c r="F88" s="32"/>
      <c r="G88" s="32"/>
      <c r="H88" s="33"/>
      <c r="I88" s="33"/>
      <c r="J88" s="35" t="s">
        <v>407</v>
      </c>
      <c r="K88" s="277"/>
      <c r="L88" s="277"/>
      <c r="M88" s="277"/>
      <c r="N88" s="368">
        <f>SUM(N87)</f>
        <v>1400000</v>
      </c>
      <c r="O88" s="368"/>
      <c r="P88" s="368">
        <f>SUM(P87)</f>
        <v>0</v>
      </c>
      <c r="Q88" s="368">
        <f>SUM(Q87)</f>
        <v>261400000</v>
      </c>
      <c r="R88" s="369"/>
      <c r="S88" s="369"/>
      <c r="T88" s="369"/>
      <c r="U88" s="369"/>
      <c r="V88" s="39">
        <f>SUM(V87)</f>
        <v>0</v>
      </c>
      <c r="W88" s="39">
        <f t="shared" ref="W88:AF88" si="46">SUM(W87)</f>
        <v>0</v>
      </c>
      <c r="X88" s="336">
        <f t="shared" si="46"/>
        <v>0</v>
      </c>
      <c r="Y88" s="39">
        <f t="shared" si="46"/>
        <v>0</v>
      </c>
      <c r="Z88" s="39">
        <f t="shared" si="46"/>
        <v>261400000</v>
      </c>
      <c r="AA88" s="39">
        <f t="shared" si="46"/>
        <v>240000000</v>
      </c>
      <c r="AB88" s="39">
        <f t="shared" si="46"/>
        <v>0</v>
      </c>
      <c r="AC88" s="39">
        <f t="shared" si="46"/>
        <v>240000000</v>
      </c>
      <c r="AD88" s="39">
        <f t="shared" si="46"/>
        <v>261400000</v>
      </c>
      <c r="AE88" s="39">
        <f t="shared" si="46"/>
        <v>240000000</v>
      </c>
      <c r="AF88" s="39">
        <f t="shared" si="46"/>
        <v>21400000</v>
      </c>
      <c r="AG88" s="363"/>
      <c r="AH88" s="370"/>
      <c r="AI88" s="39"/>
      <c r="AJ88" s="39"/>
      <c r="AK88" s="371"/>
      <c r="AL88" s="372">
        <f t="shared" si="45"/>
        <v>0</v>
      </c>
      <c r="AM88" s="206"/>
      <c r="AN88" s="285"/>
      <c r="AO88" s="286"/>
      <c r="AP88" s="287"/>
      <c r="AQ88" s="287"/>
      <c r="AR88" s="183"/>
      <c r="AU88" s="184"/>
    </row>
    <row r="89" spans="1:47" s="28" customFormat="1" ht="29.25" customHeight="1" x14ac:dyDescent="0.35">
      <c r="A89" s="27"/>
      <c r="B89" s="26"/>
      <c r="C89" s="26"/>
      <c r="D89" s="26"/>
      <c r="E89" s="26"/>
      <c r="F89" s="26"/>
      <c r="G89" s="26"/>
      <c r="H89" s="26"/>
      <c r="I89" s="26"/>
      <c r="J89" s="36" t="s">
        <v>408</v>
      </c>
      <c r="K89" s="373"/>
      <c r="L89" s="373"/>
      <c r="M89" s="373"/>
      <c r="N89" s="374">
        <f>SUM(N22+N25+N36+N45+N51+N57+N63+N70+N74+N80+N85+N86+N88)</f>
        <v>2601173403</v>
      </c>
      <c r="O89" s="374">
        <f>SUM(O22+O25+O36+O45+O51+O57+O63+O70+O74+O80+O85+O86+O88)</f>
        <v>71158958</v>
      </c>
      <c r="P89" s="374">
        <f>SUM(P22+P25+P36+P45+P51+P57+P63+P70+P74+P80+P85+P86+P88)</f>
        <v>339253958</v>
      </c>
      <c r="Q89" s="374">
        <f>SUM(Q22+Q25+Q36+Q45+Q51+Q57+Q63+Q70+Q74+Q80+Q85+Q86+Q88)</f>
        <v>2593078403</v>
      </c>
      <c r="R89" s="375">
        <f>SUM(R22+R25+R36+R45+R51+R57+R63+R70+R74+R80+R85)</f>
        <v>12000000</v>
      </c>
      <c r="S89" s="375">
        <f>SUM(S22+S25+S36+S45+S51+S57+S63+S70+S74+S80+S85)</f>
        <v>53013566</v>
      </c>
      <c r="T89" s="375">
        <f>SUM(T22+T25+T36+T45+T51+T57+T63+T70+T74+T80+T85)</f>
        <v>24532069</v>
      </c>
      <c r="U89" s="375">
        <f>SUM(U22+U25+U36+U45+U51+U57+U63+U70+U74+U80+U85)</f>
        <v>28481497</v>
      </c>
      <c r="V89" s="348">
        <f>SUM(V22+V25+V36+V45+V51+V57+V70+V74+V80+V85+V86)</f>
        <v>7364434</v>
      </c>
      <c r="W89" s="348">
        <f>SUM(W22+W25+W36+W45+W51+W57+W70+W74+W80+W85+W86)</f>
        <v>825212857.00999999</v>
      </c>
      <c r="X89" s="376">
        <f>SUM(X22+X25+X36+X45+X51+X57+X70+X74+X80+X85+X86)</f>
        <v>28481497</v>
      </c>
      <c r="Y89" s="348">
        <f>SUM(Y22+Y25+Y36+Y45+Y51+Y57+Y70+Y74+Y80+Y85+Y86)</f>
        <v>211820</v>
      </c>
      <c r="Z89" s="348">
        <f>SUM(Z22+Z25+Z36+Z45+Z51+Z57+Z70+Z74+Z80+Z85+Z87)</f>
        <v>1409625725.99</v>
      </c>
      <c r="AA89" s="348">
        <f>SUM(AA22+AA25+AA36+AA45+AA51+AA57+AA70+AA74+AA80+AA85+AA87)</f>
        <v>952653466.70000005</v>
      </c>
      <c r="AB89" s="348">
        <f>SUM(AB22+AB25+AB36+AB45+AB51+AB57+AB70+AB74+AB80+AB85+AB87)</f>
        <v>409296539.31999999</v>
      </c>
      <c r="AC89" s="348">
        <f t="shared" ref="AC89:AD89" si="47">SUM(AC22+AC25+AC36+AC45+AC51+AC57+AC70+AC74+AC80+AC85+AC87)</f>
        <v>549845133.38</v>
      </c>
      <c r="AD89" s="348">
        <f t="shared" si="47"/>
        <v>1000329186.67</v>
      </c>
      <c r="AE89" s="348">
        <f>SUM(AE22+AE25+AE36+AE45+AE51+AE57+AE70+AE74+AE80+AE85+AE87)</f>
        <v>475956118.69999999</v>
      </c>
      <c r="AF89" s="348">
        <f>SUM(AF22+AF25+AF36+AF45+AF51+AF57+AF70+AF74+AF80+AF85+AF87)</f>
        <v>524373067.96999997</v>
      </c>
      <c r="AG89" s="631">
        <f>SUM(R89+T89+V89+Y89+W89+AB89)</f>
        <v>1278617719.3299999</v>
      </c>
      <c r="AH89" s="377">
        <f>AB89/(AB89+AE89+AF89)</f>
        <v>0.29035830701269677</v>
      </c>
      <c r="AI89" s="378"/>
      <c r="AJ89" s="379"/>
      <c r="AK89" s="380" t="e">
        <f>SUM(AD89-AE89-#REF!-#REF!)</f>
        <v>#REF!</v>
      </c>
      <c r="AL89" s="381">
        <f t="shared" si="45"/>
        <v>0.6032473671140286</v>
      </c>
      <c r="AM89" s="382"/>
      <c r="AN89" s="260"/>
      <c r="AO89" s="274"/>
      <c r="AP89" s="77"/>
      <c r="AQ89" s="77"/>
      <c r="AR89" s="124"/>
      <c r="AU89" s="125"/>
    </row>
    <row r="90" spans="1:47" s="28" customFormat="1" ht="30" x14ac:dyDescent="0.35">
      <c r="A90" s="27"/>
      <c r="B90" s="26"/>
      <c r="C90" s="26"/>
      <c r="D90" s="26"/>
      <c r="E90" s="26"/>
      <c r="F90" s="26"/>
      <c r="G90" s="26"/>
      <c r="H90" s="26"/>
      <c r="I90" s="26"/>
      <c r="J90" s="36" t="s">
        <v>409</v>
      </c>
      <c r="K90" s="373"/>
      <c r="L90" s="373"/>
      <c r="M90" s="373"/>
      <c r="N90" s="374">
        <f>SUM(N8)</f>
        <v>124423893</v>
      </c>
      <c r="O90" s="374">
        <f>SUM(O8)</f>
        <v>0</v>
      </c>
      <c r="P90" s="374">
        <f>SUM(P8)</f>
        <v>0</v>
      </c>
      <c r="Q90" s="374">
        <f>SUM(Q8)</f>
        <v>124423893</v>
      </c>
      <c r="R90" s="375"/>
      <c r="S90" s="375">
        <f t="shared" ref="S90:AF90" si="48">SUM(S8)</f>
        <v>0</v>
      </c>
      <c r="T90" s="375">
        <f t="shared" si="48"/>
        <v>0</v>
      </c>
      <c r="U90" s="375">
        <f t="shared" si="48"/>
        <v>0</v>
      </c>
      <c r="V90" s="348">
        <f t="shared" si="48"/>
        <v>1500000</v>
      </c>
      <c r="W90" s="348">
        <f t="shared" si="48"/>
        <v>6961500</v>
      </c>
      <c r="X90" s="376">
        <f t="shared" si="48"/>
        <v>0</v>
      </c>
      <c r="Y90" s="348">
        <f t="shared" si="48"/>
        <v>0</v>
      </c>
      <c r="Z90" s="348">
        <f t="shared" si="48"/>
        <v>116462393</v>
      </c>
      <c r="AA90" s="348">
        <f t="shared" si="48"/>
        <v>114282684</v>
      </c>
      <c r="AB90" s="348">
        <f t="shared" si="48"/>
        <v>93720200</v>
      </c>
      <c r="AC90" s="348">
        <f t="shared" si="48"/>
        <v>20562484</v>
      </c>
      <c r="AD90" s="348">
        <f t="shared" si="48"/>
        <v>22742193</v>
      </c>
      <c r="AE90" s="348">
        <f t="shared" si="48"/>
        <v>21000000</v>
      </c>
      <c r="AF90" s="348">
        <f t="shared" si="48"/>
        <v>1742193</v>
      </c>
      <c r="AG90" s="631">
        <f>SUM(R90+T90+V90+Y90+W90+AB90)</f>
        <v>102181700</v>
      </c>
      <c r="AH90" s="377">
        <f>AB90/(AB90+AE90+AF90)</f>
        <v>0.80472500680970893</v>
      </c>
      <c r="AI90" s="378"/>
      <c r="AJ90" s="379"/>
      <c r="AK90" s="380" t="e">
        <f>SUM(AD90-AE90-#REF!-#REF!)</f>
        <v>#REF!</v>
      </c>
      <c r="AL90" s="381">
        <f t="shared" si="45"/>
        <v>0.81722004952859018</v>
      </c>
      <c r="AM90" s="382"/>
      <c r="AN90" s="260"/>
      <c r="AO90" s="274"/>
      <c r="AP90" s="77"/>
      <c r="AQ90" s="77"/>
      <c r="AR90" s="124"/>
      <c r="AU90" s="125"/>
    </row>
    <row r="91" spans="1:47" s="28" customFormat="1" x14ac:dyDescent="0.35">
      <c r="A91" s="27"/>
      <c r="B91" s="26"/>
      <c r="C91" s="26"/>
      <c r="D91" s="26"/>
      <c r="E91" s="26"/>
      <c r="F91" s="26"/>
      <c r="G91" s="26"/>
      <c r="H91" s="26"/>
      <c r="I91" s="26"/>
      <c r="J91" s="36" t="s">
        <v>410</v>
      </c>
      <c r="K91" s="373"/>
      <c r="L91" s="373"/>
      <c r="M91" s="373"/>
      <c r="N91" s="374">
        <f t="shared" ref="N91:AF91" si="49">SUM(N13)</f>
        <v>29870000</v>
      </c>
      <c r="O91" s="374">
        <f t="shared" si="49"/>
        <v>8095000</v>
      </c>
      <c r="P91" s="374">
        <f t="shared" si="49"/>
        <v>0</v>
      </c>
      <c r="Q91" s="374">
        <f t="shared" si="49"/>
        <v>37965000</v>
      </c>
      <c r="R91" s="375">
        <f t="shared" si="49"/>
        <v>0</v>
      </c>
      <c r="S91" s="375">
        <f t="shared" si="49"/>
        <v>0</v>
      </c>
      <c r="T91" s="375">
        <f t="shared" si="49"/>
        <v>0</v>
      </c>
      <c r="U91" s="375">
        <f t="shared" si="49"/>
        <v>0</v>
      </c>
      <c r="V91" s="348">
        <f t="shared" si="49"/>
        <v>37965000</v>
      </c>
      <c r="W91" s="348">
        <f t="shared" si="49"/>
        <v>0</v>
      </c>
      <c r="X91" s="376">
        <f t="shared" si="49"/>
        <v>0</v>
      </c>
      <c r="Y91" s="348">
        <f t="shared" si="49"/>
        <v>0</v>
      </c>
      <c r="Z91" s="348">
        <f t="shared" si="49"/>
        <v>0</v>
      </c>
      <c r="AA91" s="348">
        <f t="shared" si="49"/>
        <v>0</v>
      </c>
      <c r="AB91" s="348">
        <f t="shared" si="49"/>
        <v>0</v>
      </c>
      <c r="AC91" s="348">
        <f t="shared" si="49"/>
        <v>0</v>
      </c>
      <c r="AD91" s="348">
        <f t="shared" si="49"/>
        <v>0</v>
      </c>
      <c r="AE91" s="348">
        <f t="shared" si="49"/>
        <v>0</v>
      </c>
      <c r="AF91" s="348">
        <f t="shared" si="49"/>
        <v>0</v>
      </c>
      <c r="AG91" s="631">
        <f>SUM(R91+T91+V91+Y91+W91+AB91)</f>
        <v>37965000</v>
      </c>
      <c r="AH91" s="377"/>
      <c r="AI91" s="378"/>
      <c r="AJ91" s="379"/>
      <c r="AK91" s="380" t="e">
        <f>SUM(AD91-AE91-#REF!-#REF!)</f>
        <v>#REF!</v>
      </c>
      <c r="AL91" s="381">
        <f t="shared" si="45"/>
        <v>1</v>
      </c>
      <c r="AM91" s="382"/>
      <c r="AN91" s="260"/>
      <c r="AO91" s="274"/>
      <c r="AP91" s="77"/>
      <c r="AQ91" s="77"/>
      <c r="AR91" s="124"/>
      <c r="AU91" s="125"/>
    </row>
    <row r="92" spans="1:47" s="28" customFormat="1" x14ac:dyDescent="0.35">
      <c r="A92" s="27"/>
      <c r="B92" s="26"/>
      <c r="C92" s="26"/>
      <c r="D92" s="26"/>
      <c r="E92" s="26"/>
      <c r="F92" s="26"/>
      <c r="G92" s="26"/>
      <c r="H92" s="26"/>
      <c r="I92" s="26"/>
      <c r="J92" s="36" t="s">
        <v>411</v>
      </c>
      <c r="K92" s="373"/>
      <c r="L92" s="373"/>
      <c r="M92" s="373"/>
      <c r="N92" s="374">
        <f>SUM(N89:N91)</f>
        <v>2755467296</v>
      </c>
      <c r="O92" s="374">
        <f>SUM(O89:O91)</f>
        <v>79253958</v>
      </c>
      <c r="P92" s="374">
        <f>SUM(P89:P91)</f>
        <v>339253958</v>
      </c>
      <c r="Q92" s="374">
        <f>SUM(Q89:Q91)</f>
        <v>2755467296</v>
      </c>
      <c r="R92" s="375"/>
      <c r="S92" s="375">
        <f t="shared" ref="S92:AE92" si="50">SUM(S89:S91)</f>
        <v>53013566</v>
      </c>
      <c r="T92" s="375">
        <f t="shared" si="50"/>
        <v>24532069</v>
      </c>
      <c r="U92" s="375">
        <f t="shared" si="50"/>
        <v>28481497</v>
      </c>
      <c r="V92" s="348">
        <f t="shared" si="50"/>
        <v>46829434</v>
      </c>
      <c r="W92" s="348">
        <f t="shared" si="50"/>
        <v>832174357.00999999</v>
      </c>
      <c r="X92" s="376">
        <f t="shared" si="50"/>
        <v>28481497</v>
      </c>
      <c r="Y92" s="348">
        <f t="shared" si="50"/>
        <v>211820</v>
      </c>
      <c r="Z92" s="348">
        <f t="shared" si="50"/>
        <v>1526088118.99</v>
      </c>
      <c r="AA92" s="348">
        <f t="shared" si="50"/>
        <v>1066936150.7</v>
      </c>
      <c r="AB92" s="348">
        <f>SUM(AB89:AB91)</f>
        <v>503016739.31999999</v>
      </c>
      <c r="AC92" s="348">
        <f t="shared" si="50"/>
        <v>570407617.38</v>
      </c>
      <c r="AD92" s="348">
        <f t="shared" si="50"/>
        <v>1023071379.67</v>
      </c>
      <c r="AE92" s="348">
        <f t="shared" si="50"/>
        <v>496956118.69999999</v>
      </c>
      <c r="AF92" s="348">
        <f>SUM(AD92-AE92)</f>
        <v>526115260.96999997</v>
      </c>
      <c r="AG92" s="631">
        <f>SUM(AG89:AG91)</f>
        <v>1418764419.3299999</v>
      </c>
      <c r="AH92" s="377">
        <f>AB92/(AB92+AE92+AF92)</f>
        <v>0.32961185731064335</v>
      </c>
      <c r="AI92" s="378"/>
      <c r="AJ92" s="379"/>
      <c r="AK92" s="380" t="e">
        <f>SUM(AD92-AE92-#REF!-#REF!)</f>
        <v>#REF!</v>
      </c>
      <c r="AL92" s="381">
        <f t="shared" si="45"/>
        <v>0.618375845651844</v>
      </c>
      <c r="AM92" s="382"/>
      <c r="AN92" s="260"/>
      <c r="AO92" s="261"/>
      <c r="AP92" s="77"/>
      <c r="AQ92" s="77"/>
      <c r="AR92" s="124"/>
      <c r="AU92" s="125"/>
    </row>
    <row r="93" spans="1:47" s="28" customFormat="1" ht="27" customHeight="1" x14ac:dyDescent="0.35">
      <c r="A93" s="383"/>
      <c r="B93" s="865" t="s">
        <v>350</v>
      </c>
      <c r="C93" s="866"/>
      <c r="D93" s="866"/>
      <c r="E93" s="866"/>
      <c r="F93" s="866"/>
      <c r="G93" s="866"/>
      <c r="H93" s="866"/>
      <c r="I93" s="867"/>
      <c r="J93" s="35"/>
      <c r="K93" s="277"/>
      <c r="L93" s="277"/>
      <c r="M93" s="855" t="s">
        <v>412</v>
      </c>
      <c r="N93" s="368"/>
      <c r="O93" s="368"/>
      <c r="P93" s="368"/>
      <c r="Q93" s="368">
        <f>SUM(N89+O89-P89)</f>
        <v>2333078403</v>
      </c>
      <c r="R93" s="384"/>
      <c r="S93" s="384"/>
      <c r="T93" s="384"/>
      <c r="U93" s="384">
        <f>SUM(S92-T92)</f>
        <v>28481497</v>
      </c>
      <c r="V93" s="385">
        <f>SUM(V92)</f>
        <v>46829434</v>
      </c>
      <c r="W93" s="368"/>
      <c r="X93" s="386"/>
      <c r="Y93" s="387"/>
      <c r="Z93" s="388">
        <f>SUM(Q89-R89-T89-V89-W89-X89-Y89)</f>
        <v>1695275725.99</v>
      </c>
      <c r="AA93" s="389"/>
      <c r="AB93" s="388"/>
      <c r="AC93" s="388">
        <f>SUM(AA92-AB92)</f>
        <v>563919411.38000011</v>
      </c>
      <c r="AD93" s="387">
        <f>(Z89-AB89)</f>
        <v>1000329186.6700001</v>
      </c>
      <c r="AE93" s="387">
        <f>SUM(AE8+AE22+AE36+AE45+AE51+AE57+AE70+AE80+AE85)</f>
        <v>247956118.69999999</v>
      </c>
      <c r="AF93" s="387"/>
      <c r="AG93" s="390"/>
      <c r="AH93" s="391"/>
      <c r="AI93" s="392"/>
      <c r="AJ93" s="393"/>
      <c r="AK93" s="394" t="e">
        <f>SUM(AD93-AE93-#REF!-#REF!)</f>
        <v>#REF!</v>
      </c>
      <c r="AL93" s="391"/>
      <c r="AM93" s="174"/>
      <c r="AN93" s="395"/>
      <c r="AO93" s="396"/>
      <c r="AP93" s="397"/>
      <c r="AQ93" s="398"/>
      <c r="AR93" s="124"/>
      <c r="AU93" s="125"/>
    </row>
    <row r="94" spans="1:47" s="28" customFormat="1" ht="17.25" customHeight="1" x14ac:dyDescent="0.35">
      <c r="A94" s="383"/>
      <c r="B94" s="868"/>
      <c r="C94" s="869"/>
      <c r="D94" s="869"/>
      <c r="E94" s="869"/>
      <c r="F94" s="869"/>
      <c r="G94" s="869"/>
      <c r="H94" s="869"/>
      <c r="I94" s="870"/>
      <c r="J94" s="35"/>
      <c r="K94" s="277"/>
      <c r="L94" s="277"/>
      <c r="M94" s="855"/>
      <c r="N94" s="368"/>
      <c r="O94" s="368"/>
      <c r="P94" s="368"/>
      <c r="Q94" s="368">
        <f>SUM(N90+O90-P90)</f>
        <v>124423893</v>
      </c>
      <c r="R94" s="384"/>
      <c r="S94" s="384"/>
      <c r="T94" s="384"/>
      <c r="U94" s="384"/>
      <c r="V94" s="385"/>
      <c r="W94" s="368"/>
      <c r="X94" s="399"/>
      <c r="Y94" s="400"/>
      <c r="Z94" s="388">
        <f>SUM(Q90-R90-T90-V90-W90-X90-Y90)</f>
        <v>115962393</v>
      </c>
      <c r="AA94" s="389"/>
      <c r="AB94" s="388"/>
      <c r="AC94" s="388"/>
      <c r="AD94" s="387">
        <f>SUM(Z90-AB90)</f>
        <v>22742193</v>
      </c>
      <c r="AE94" s="401"/>
      <c r="AF94" s="400"/>
      <c r="AG94" s="402"/>
      <c r="AH94" s="403"/>
      <c r="AI94" s="404"/>
      <c r="AJ94" s="393"/>
      <c r="AK94" s="394" t="e">
        <f>SUM(AD94-AE94-#REF!-#REF!)</f>
        <v>#REF!</v>
      </c>
      <c r="AL94" s="405"/>
      <c r="AM94" s="406"/>
      <c r="AN94" s="395"/>
      <c r="AO94" s="393"/>
      <c r="AP94" s="398"/>
      <c r="AQ94" s="398"/>
      <c r="AR94" s="124"/>
      <c r="AU94" s="125"/>
    </row>
    <row r="95" spans="1:47" s="28" customFormat="1" ht="17.25" customHeight="1" x14ac:dyDescent="0.35">
      <c r="A95" s="383"/>
      <c r="B95" s="871"/>
      <c r="C95" s="872"/>
      <c r="D95" s="872"/>
      <c r="E95" s="872"/>
      <c r="F95" s="872"/>
      <c r="G95" s="872"/>
      <c r="H95" s="872"/>
      <c r="I95" s="873"/>
      <c r="J95" s="35"/>
      <c r="K95" s="277"/>
      <c r="L95" s="277"/>
      <c r="M95" s="855"/>
      <c r="N95" s="368"/>
      <c r="O95" s="368"/>
      <c r="P95" s="368">
        <f>SUM(N92+O92-P92)</f>
        <v>2495467296</v>
      </c>
      <c r="Q95" s="368">
        <f>SUM(N91+O91-P91)</f>
        <v>37965000</v>
      </c>
      <c r="R95" s="384"/>
      <c r="S95" s="384"/>
      <c r="T95" s="384"/>
      <c r="U95" s="384"/>
      <c r="V95" s="385"/>
      <c r="W95" s="368"/>
      <c r="X95" s="399"/>
      <c r="Y95" s="400"/>
      <c r="Z95" s="388">
        <f>SUM(Q91-R91-T91-V91-W91-X91-Y91)</f>
        <v>0</v>
      </c>
      <c r="AA95" s="389"/>
      <c r="AB95" s="388"/>
      <c r="AC95" s="388"/>
      <c r="AD95" s="387">
        <f>SUM(Z91-AB91)</f>
        <v>0</v>
      </c>
      <c r="AE95" s="401" t="e">
        <f>SUM(Z91-AB91-#REF!)</f>
        <v>#REF!</v>
      </c>
      <c r="AF95" s="400"/>
      <c r="AG95" s="402"/>
      <c r="AH95" s="403"/>
      <c r="AI95" s="404"/>
      <c r="AJ95" s="393"/>
      <c r="AK95" s="394" t="e">
        <f>SUM(AD95-AE95-#REF!-#REF!)</f>
        <v>#REF!</v>
      </c>
      <c r="AL95" s="405"/>
      <c r="AM95" s="406"/>
      <c r="AN95" s="395"/>
      <c r="AO95" s="393"/>
      <c r="AP95" s="398"/>
      <c r="AQ95" s="398"/>
      <c r="AR95" s="124"/>
      <c r="AU95" s="125"/>
    </row>
    <row r="96" spans="1:47" s="425" customFormat="1" ht="26.25" x14ac:dyDescent="0.35">
      <c r="A96" s="407"/>
      <c r="B96" s="408"/>
      <c r="C96" s="408"/>
      <c r="D96" s="408"/>
      <c r="E96" s="408"/>
      <c r="F96" s="408"/>
      <c r="G96" s="408"/>
      <c r="H96" s="408"/>
      <c r="I96" s="408"/>
      <c r="J96" s="409" t="s">
        <v>413</v>
      </c>
      <c r="K96" s="410"/>
      <c r="L96" s="410"/>
      <c r="M96" s="410"/>
      <c r="N96" s="411">
        <f t="shared" ref="N96:AB96" si="51">SUM(N13+N89)</f>
        <v>2631043403</v>
      </c>
      <c r="O96" s="411">
        <f t="shared" si="51"/>
        <v>79253958</v>
      </c>
      <c r="P96" s="411">
        <f t="shared" si="51"/>
        <v>339253958</v>
      </c>
      <c r="Q96" s="411">
        <f t="shared" si="51"/>
        <v>2631043403</v>
      </c>
      <c r="R96" s="411">
        <f t="shared" si="51"/>
        <v>12000000</v>
      </c>
      <c r="S96" s="411">
        <f t="shared" si="51"/>
        <v>53013566</v>
      </c>
      <c r="T96" s="411">
        <f t="shared" si="51"/>
        <v>24532069</v>
      </c>
      <c r="U96" s="411">
        <f t="shared" si="51"/>
        <v>28481497</v>
      </c>
      <c r="V96" s="411">
        <f t="shared" si="51"/>
        <v>45329434</v>
      </c>
      <c r="W96" s="411">
        <f t="shared" si="51"/>
        <v>825212857.00999999</v>
      </c>
      <c r="X96" s="412">
        <f t="shared" si="51"/>
        <v>28481497</v>
      </c>
      <c r="Y96" s="413">
        <f t="shared" si="51"/>
        <v>211820</v>
      </c>
      <c r="Z96" s="413">
        <f t="shared" si="51"/>
        <v>1409625725.99</v>
      </c>
      <c r="AA96" s="413">
        <f t="shared" si="51"/>
        <v>952653466.70000005</v>
      </c>
      <c r="AB96" s="413">
        <f t="shared" si="51"/>
        <v>409296539.31999999</v>
      </c>
      <c r="AC96" s="413"/>
      <c r="AD96" s="414">
        <f>SUM(Z96-AB96)</f>
        <v>1000329186.6700001</v>
      </c>
      <c r="AE96" s="413">
        <f>SUM(AE13+AE89)</f>
        <v>475956118.69999999</v>
      </c>
      <c r="AF96" s="413">
        <f>SUM(AF13+AF89)</f>
        <v>524373067.96999997</v>
      </c>
      <c r="AG96" s="415"/>
      <c r="AH96" s="416">
        <f>AB96/(AB96+AE96+AF96)</f>
        <v>0.29035830701269677</v>
      </c>
      <c r="AI96" s="417"/>
      <c r="AJ96" s="418"/>
      <c r="AK96" s="419" t="e">
        <f>SUM(AD96-AE96-#REF!-#REF!)</f>
        <v>#REF!</v>
      </c>
      <c r="AL96" s="420">
        <f>SUM(Q96-(AD96+X96))/Q96</f>
        <v>0.60897236339890204</v>
      </c>
      <c r="AM96" s="122"/>
      <c r="AN96" s="421"/>
      <c r="AO96" s="422" t="s">
        <v>414</v>
      </c>
      <c r="AP96" s="423">
        <f>SUM(AP6:AP95)</f>
        <v>10000000</v>
      </c>
      <c r="AQ96" s="423">
        <f>SUM(AQ6:AQ95)</f>
        <v>10000000</v>
      </c>
      <c r="AR96" s="424">
        <f>SUM(AQ96-AP96)</f>
        <v>0</v>
      </c>
      <c r="AU96" s="426"/>
    </row>
    <row r="97" spans="1:47" s="437" customFormat="1" ht="57.75" customHeight="1" x14ac:dyDescent="0.35">
      <c r="A97" s="427"/>
      <c r="B97" s="797" t="s">
        <v>415</v>
      </c>
      <c r="C97" s="798"/>
      <c r="D97" s="798"/>
      <c r="E97" s="798"/>
      <c r="F97" s="798"/>
      <c r="G97" s="798"/>
      <c r="H97" s="798"/>
      <c r="I97" s="798"/>
      <c r="J97" s="798"/>
      <c r="K97" s="373"/>
      <c r="L97" s="373"/>
      <c r="M97" s="373"/>
      <c r="N97" s="374"/>
      <c r="O97" s="374"/>
      <c r="P97" s="374"/>
      <c r="Q97" s="374"/>
      <c r="R97" s="374"/>
      <c r="S97" s="374"/>
      <c r="T97" s="374"/>
      <c r="U97" s="374"/>
      <c r="V97" s="374"/>
      <c r="W97" s="374"/>
      <c r="X97" s="428"/>
      <c r="Y97" s="429"/>
      <c r="Z97" s="430"/>
      <c r="AA97" s="430"/>
      <c r="AB97" s="430"/>
      <c r="AC97" s="430"/>
      <c r="AD97" s="429"/>
      <c r="AE97" s="429"/>
      <c r="AF97" s="429"/>
      <c r="AG97" s="415"/>
      <c r="AH97" s="431"/>
      <c r="AI97" s="432"/>
      <c r="AJ97" s="433"/>
      <c r="AK97" s="434"/>
      <c r="AL97" s="435"/>
      <c r="AM97" s="122"/>
      <c r="AN97" s="175"/>
      <c r="AO97" s="436"/>
      <c r="AP97" s="52"/>
      <c r="AQ97" s="52"/>
      <c r="AR97" s="183"/>
      <c r="AU97" s="184"/>
    </row>
    <row r="98" spans="1:47" ht="40.5" customHeight="1" x14ac:dyDescent="0.35">
      <c r="A98" s="438" t="s">
        <v>100</v>
      </c>
      <c r="B98" s="24">
        <v>3</v>
      </c>
      <c r="C98" s="24">
        <v>6</v>
      </c>
      <c r="D98" s="24">
        <v>3</v>
      </c>
      <c r="E98" s="24">
        <v>20</v>
      </c>
      <c r="F98" s="24"/>
      <c r="G98" s="24" t="s">
        <v>90</v>
      </c>
      <c r="H98" s="24">
        <v>10</v>
      </c>
      <c r="I98" s="24" t="s">
        <v>88</v>
      </c>
      <c r="J98" s="222" t="s">
        <v>415</v>
      </c>
      <c r="K98" s="439"/>
      <c r="L98" s="439"/>
      <c r="M98" s="439"/>
      <c r="N98" s="440">
        <v>1174750619</v>
      </c>
      <c r="O98" s="440">
        <v>0</v>
      </c>
      <c r="P98" s="440">
        <v>1174750619</v>
      </c>
      <c r="Q98" s="440">
        <f>SUM(N98+O98-P98)</f>
        <v>0</v>
      </c>
      <c r="R98" s="440"/>
      <c r="S98" s="374"/>
      <c r="T98" s="374"/>
      <c r="U98" s="374"/>
      <c r="V98" s="374"/>
      <c r="W98" s="374"/>
      <c r="X98" s="428"/>
      <c r="Y98" s="429"/>
      <c r="Z98" s="166">
        <f>SUM(Q98-R98-T98-V98-W98-X98-Y98)</f>
        <v>0</v>
      </c>
      <c r="AA98" s="430"/>
      <c r="AB98" s="430"/>
      <c r="AC98" s="430"/>
      <c r="AD98" s="429"/>
      <c r="AE98" s="429"/>
      <c r="AF98" s="429"/>
      <c r="AG98" s="415"/>
      <c r="AH98" s="431"/>
      <c r="AI98" s="432"/>
      <c r="AJ98" s="441"/>
      <c r="AK98" s="434" t="e">
        <f>SUM(AD98-AE98-#REF!-#REF!)</f>
        <v>#REF!</v>
      </c>
      <c r="AL98" s="442"/>
      <c r="AN98" s="229"/>
      <c r="AO98" s="121"/>
      <c r="AP98" s="443"/>
      <c r="AQ98" s="443"/>
    </row>
    <row r="99" spans="1:47" s="425" customFormat="1" ht="28.5" customHeight="1" x14ac:dyDescent="0.35">
      <c r="A99" s="407"/>
      <c r="B99" s="408"/>
      <c r="C99" s="408"/>
      <c r="D99" s="408"/>
      <c r="E99" s="408"/>
      <c r="F99" s="408"/>
      <c r="G99" s="408"/>
      <c r="H99" s="408"/>
      <c r="I99" s="444">
        <f>SUBTOTAL(9,Q101:Q107)</f>
        <v>20500678600</v>
      </c>
      <c r="J99" s="409" t="s">
        <v>416</v>
      </c>
      <c r="K99" s="410"/>
      <c r="L99" s="410"/>
      <c r="M99" s="410"/>
      <c r="N99" s="411">
        <f>SUM(N98:N98)</f>
        <v>1174750619</v>
      </c>
      <c r="O99" s="411">
        <f>SUM(O98:O98)</f>
        <v>0</v>
      </c>
      <c r="P99" s="411">
        <f>SUM(P98:P98)</f>
        <v>1174750619</v>
      </c>
      <c r="Q99" s="411">
        <f>SUM(Q98:Q98)</f>
        <v>0</v>
      </c>
      <c r="R99" s="411"/>
      <c r="S99" s="411"/>
      <c r="T99" s="411">
        <f>SUM(T98:T98)</f>
        <v>0</v>
      </c>
      <c r="U99" s="411"/>
      <c r="V99" s="411">
        <f>SUM(V98:V98)</f>
        <v>0</v>
      </c>
      <c r="W99" s="411"/>
      <c r="X99" s="428"/>
      <c r="Y99" s="445"/>
      <c r="Z99" s="411">
        <f>SUM(Z98:Z98)</f>
        <v>0</v>
      </c>
      <c r="AA99" s="411">
        <f>SUM(AA98:AA98)</f>
        <v>0</v>
      </c>
      <c r="AB99" s="411"/>
      <c r="AC99" s="411"/>
      <c r="AD99" s="445">
        <f>SUM(Z99-AB99)</f>
        <v>0</v>
      </c>
      <c r="AE99" s="445"/>
      <c r="AF99" s="445"/>
      <c r="AG99" s="446"/>
      <c r="AH99" s="447"/>
      <c r="AI99" s="445"/>
      <c r="AJ99" s="448"/>
      <c r="AK99" s="434" t="e">
        <f>SUM(AD99-AE99-#REF!-#REF!)</f>
        <v>#REF!</v>
      </c>
      <c r="AL99" s="449"/>
      <c r="AM99" s="122"/>
      <c r="AN99" s="421"/>
      <c r="AO99" s="422"/>
      <c r="AP99" s="423"/>
      <c r="AQ99" s="423"/>
      <c r="AR99" s="450"/>
      <c r="AU99" s="426"/>
    </row>
    <row r="100" spans="1:47" s="425" customFormat="1" ht="28.5" customHeight="1" x14ac:dyDescent="0.35">
      <c r="A100" s="407"/>
      <c r="B100" s="856" t="s">
        <v>417</v>
      </c>
      <c r="C100" s="857"/>
      <c r="D100" s="857"/>
      <c r="E100" s="857"/>
      <c r="F100" s="857"/>
      <c r="G100" s="857"/>
      <c r="H100" s="857"/>
      <c r="I100" s="857"/>
      <c r="J100" s="858"/>
      <c r="K100" s="410"/>
      <c r="L100" s="410"/>
      <c r="M100" s="410"/>
      <c r="N100" s="411"/>
      <c r="O100" s="411"/>
      <c r="P100" s="411"/>
      <c r="Q100" s="411"/>
      <c r="R100" s="411"/>
      <c r="S100" s="411"/>
      <c r="T100" s="411"/>
      <c r="U100" s="411"/>
      <c r="V100" s="411"/>
      <c r="W100" s="411"/>
      <c r="X100" s="428"/>
      <c r="Y100" s="445"/>
      <c r="Z100" s="411"/>
      <c r="AA100" s="411"/>
      <c r="AB100" s="411"/>
      <c r="AC100" s="411"/>
      <c r="AD100" s="445"/>
      <c r="AE100" s="445"/>
      <c r="AF100" s="445"/>
      <c r="AG100" s="447"/>
      <c r="AH100" s="447"/>
      <c r="AI100" s="445"/>
      <c r="AJ100" s="448"/>
      <c r="AK100" s="434"/>
      <c r="AL100" s="449"/>
      <c r="AM100" s="122"/>
      <c r="AN100" s="421"/>
      <c r="AO100" s="422"/>
      <c r="AP100" s="423">
        <v>0</v>
      </c>
      <c r="AQ100" s="423"/>
      <c r="AR100" s="450"/>
      <c r="AU100" s="426"/>
    </row>
    <row r="101" spans="1:47" ht="84" customHeight="1" x14ac:dyDescent="0.35">
      <c r="A101" s="438"/>
      <c r="B101" s="451">
        <v>501</v>
      </c>
      <c r="C101" s="451">
        <v>1000</v>
      </c>
      <c r="D101" s="451">
        <v>1</v>
      </c>
      <c r="E101" s="452" t="s">
        <v>87</v>
      </c>
      <c r="F101" s="452" t="s">
        <v>87</v>
      </c>
      <c r="G101" s="452" t="s">
        <v>90</v>
      </c>
      <c r="H101" s="451">
        <v>10</v>
      </c>
      <c r="I101" s="451" t="s">
        <v>88</v>
      </c>
      <c r="J101" s="712" t="s">
        <v>418</v>
      </c>
      <c r="K101" s="453"/>
      <c r="L101" s="453"/>
      <c r="M101" s="453"/>
      <c r="N101" s="430">
        <v>6900000000</v>
      </c>
      <c r="O101" s="430"/>
      <c r="P101" s="430">
        <v>290000000</v>
      </c>
      <c r="Q101" s="430">
        <f t="shared" ref="Q101:Q108" si="52">SUM(N101+O101-P101)</f>
        <v>6610000000</v>
      </c>
      <c r="R101" s="454"/>
      <c r="S101" s="454"/>
      <c r="T101" s="454"/>
      <c r="U101" s="454"/>
      <c r="V101" s="600"/>
      <c r="W101" s="600">
        <f>5909616100-18800000</f>
        <v>5890816100</v>
      </c>
      <c r="X101" s="600">
        <f t="shared" ref="X101:X107" si="53">SUM(U101)</f>
        <v>0</v>
      </c>
      <c r="Y101" s="600"/>
      <c r="Z101" s="600">
        <f t="shared" ref="Z101:Z108" si="54">SUM(Q101-R101-T101-V101-W101-X101-Y101)</f>
        <v>719183900</v>
      </c>
      <c r="AA101" s="600">
        <v>172590000</v>
      </c>
      <c r="AB101" s="600"/>
      <c r="AC101" s="600">
        <f t="shared" ref="AC101:AC107" si="55">SUM(AA101-AB101)</f>
        <v>172590000</v>
      </c>
      <c r="AD101" s="600">
        <f t="shared" ref="AD101:AD108" si="56">SUM(Z101-AB101)</f>
        <v>719183900</v>
      </c>
      <c r="AE101" s="600">
        <v>172590000</v>
      </c>
      <c r="AF101" s="600">
        <f t="shared" ref="AF101" si="57">SUM(AD101-AE101)</f>
        <v>546593900</v>
      </c>
      <c r="AG101" s="686">
        <f t="shared" ref="AG101:AG106" si="58">SUM(R101+T101+V101+Y101+W101+AB101)</f>
        <v>5890816100</v>
      </c>
      <c r="AH101" s="377">
        <f t="shared" ref="AH101:AH108" si="59">AB101/(AB101+AE101+AF101)</f>
        <v>0</v>
      </c>
      <c r="AI101" s="378"/>
      <c r="AJ101" s="379"/>
      <c r="AK101" s="380" t="e">
        <f>SUM(AD101-AE101-#REF!-#REF!)</f>
        <v>#REF!</v>
      </c>
      <c r="AL101" s="381">
        <f t="shared" ref="AL101:AL109" si="60">SUM(Q101-(AD101+X101))/Q101</f>
        <v>0.89119759455370651</v>
      </c>
      <c r="AM101" s="455"/>
      <c r="AN101" s="175"/>
      <c r="AO101" s="456"/>
      <c r="AP101" s="52"/>
      <c r="AQ101" s="52"/>
    </row>
    <row r="102" spans="1:47" ht="100.5" customHeight="1" x14ac:dyDescent="0.35">
      <c r="A102" s="438" t="s">
        <v>92</v>
      </c>
      <c r="B102" s="451">
        <v>505</v>
      </c>
      <c r="C102" s="451">
        <v>1000</v>
      </c>
      <c r="D102" s="452">
        <v>1</v>
      </c>
      <c r="E102" s="452" t="s">
        <v>87</v>
      </c>
      <c r="F102" s="452" t="s">
        <v>87</v>
      </c>
      <c r="G102" s="452" t="s">
        <v>90</v>
      </c>
      <c r="H102" s="451">
        <v>10</v>
      </c>
      <c r="I102" s="451" t="s">
        <v>88</v>
      </c>
      <c r="J102" s="712" t="s">
        <v>552</v>
      </c>
      <c r="K102" s="457" t="s">
        <v>419</v>
      </c>
      <c r="L102" s="458" t="s">
        <v>420</v>
      </c>
      <c r="M102" s="458">
        <v>2</v>
      </c>
      <c r="N102" s="430">
        <v>310000000</v>
      </c>
      <c r="O102" s="430"/>
      <c r="P102" s="430"/>
      <c r="Q102" s="430">
        <f t="shared" si="52"/>
        <v>310000000</v>
      </c>
      <c r="R102" s="454"/>
      <c r="S102" s="454"/>
      <c r="T102" s="454"/>
      <c r="U102" s="454"/>
      <c r="V102" s="600"/>
      <c r="W102" s="600"/>
      <c r="X102" s="600">
        <f t="shared" si="53"/>
        <v>0</v>
      </c>
      <c r="Y102" s="600"/>
      <c r="Z102" s="600">
        <f t="shared" si="54"/>
        <v>310000000</v>
      </c>
      <c r="AA102" s="600">
        <v>299232500</v>
      </c>
      <c r="AB102" s="600">
        <v>307937600</v>
      </c>
      <c r="AC102" s="600">
        <f t="shared" si="55"/>
        <v>-8705100</v>
      </c>
      <c r="AD102" s="600">
        <f t="shared" si="56"/>
        <v>2062400</v>
      </c>
      <c r="AE102" s="600"/>
      <c r="AF102" s="600">
        <f>SUM(AD102-AE102)</f>
        <v>2062400</v>
      </c>
      <c r="AG102" s="686">
        <f t="shared" si="58"/>
        <v>307937600</v>
      </c>
      <c r="AH102" s="377">
        <f t="shared" si="59"/>
        <v>0.99334709677419353</v>
      </c>
      <c r="AI102" s="460"/>
      <c r="AJ102" s="461"/>
      <c r="AK102" s="462" t="e">
        <f>SUM(AD102-AE102-#REF!-#REF!)</f>
        <v>#REF!</v>
      </c>
      <c r="AL102" s="701">
        <f t="shared" si="60"/>
        <v>0.99334709677419353</v>
      </c>
      <c r="AM102" s="463"/>
      <c r="AN102" s="175"/>
      <c r="AO102" s="464"/>
      <c r="AP102" s="52"/>
      <c r="AQ102" s="52"/>
    </row>
    <row r="103" spans="1:47" ht="100.5" customHeight="1" x14ac:dyDescent="0.35">
      <c r="A103" s="438"/>
      <c r="B103" s="451">
        <v>505</v>
      </c>
      <c r="C103" s="451">
        <v>1000</v>
      </c>
      <c r="D103" s="452">
        <v>1</v>
      </c>
      <c r="E103" s="452" t="s">
        <v>87</v>
      </c>
      <c r="F103" s="452" t="s">
        <v>87</v>
      </c>
      <c r="G103" s="452" t="s">
        <v>90</v>
      </c>
      <c r="H103" s="638">
        <v>11</v>
      </c>
      <c r="I103" s="451" t="s">
        <v>88</v>
      </c>
      <c r="J103" s="712" t="s">
        <v>611</v>
      </c>
      <c r="K103" s="457"/>
      <c r="L103" s="458"/>
      <c r="M103" s="458"/>
      <c r="N103" s="430">
        <v>4000000000</v>
      </c>
      <c r="O103" s="430"/>
      <c r="P103" s="430"/>
      <c r="Q103" s="430">
        <f t="shared" si="52"/>
        <v>4000000000</v>
      </c>
      <c r="R103" s="454"/>
      <c r="S103" s="454"/>
      <c r="T103" s="454"/>
      <c r="U103" s="454"/>
      <c r="V103" s="600"/>
      <c r="W103" s="600"/>
      <c r="X103" s="600"/>
      <c r="Y103" s="745">
        <f>204196893+71328599</f>
        <v>275525492</v>
      </c>
      <c r="Z103" s="600">
        <f t="shared" si="54"/>
        <v>3724474508</v>
      </c>
      <c r="AA103" s="600">
        <v>2724115633.5</v>
      </c>
      <c r="AB103" s="600">
        <v>2688715199</v>
      </c>
      <c r="AC103" s="600"/>
      <c r="AD103" s="600">
        <f t="shared" si="56"/>
        <v>1035759309</v>
      </c>
      <c r="AE103" s="600">
        <v>32837000</v>
      </c>
      <c r="AF103" s="600">
        <f t="shared" ref="AF103:AF108" si="61">SUM(AD103-AE103)</f>
        <v>1002922309</v>
      </c>
      <c r="AG103" s="686">
        <f t="shared" si="58"/>
        <v>2964240691</v>
      </c>
      <c r="AH103" s="377">
        <f t="shared" si="59"/>
        <v>0.72190457827668397</v>
      </c>
      <c r="AI103" s="460"/>
      <c r="AJ103" s="461"/>
      <c r="AK103" s="462"/>
      <c r="AL103" s="701">
        <f t="shared" si="60"/>
        <v>0.74106017275000002</v>
      </c>
      <c r="AM103" s="463"/>
      <c r="AN103" s="175"/>
      <c r="AO103" s="464"/>
      <c r="AP103" s="52"/>
      <c r="AQ103" s="52"/>
    </row>
    <row r="104" spans="1:47" ht="98.25" customHeight="1" x14ac:dyDescent="0.35">
      <c r="A104" s="438" t="s">
        <v>92</v>
      </c>
      <c r="B104" s="451">
        <v>505</v>
      </c>
      <c r="C104" s="451">
        <v>1000</v>
      </c>
      <c r="D104" s="452">
        <v>2</v>
      </c>
      <c r="E104" s="452" t="s">
        <v>87</v>
      </c>
      <c r="F104" s="452" t="s">
        <v>87</v>
      </c>
      <c r="G104" s="452" t="s">
        <v>90</v>
      </c>
      <c r="H104" s="451">
        <v>10</v>
      </c>
      <c r="I104" s="451" t="s">
        <v>88</v>
      </c>
      <c r="J104" s="712" t="s">
        <v>642</v>
      </c>
      <c r="K104" s="457"/>
      <c r="L104" s="458"/>
      <c r="M104" s="458"/>
      <c r="N104" s="430">
        <v>2650000000</v>
      </c>
      <c r="O104" s="430"/>
      <c r="P104" s="430"/>
      <c r="Q104" s="430">
        <f t="shared" si="52"/>
        <v>2650000000</v>
      </c>
      <c r="R104" s="454"/>
      <c r="S104" s="454"/>
      <c r="T104" s="454"/>
      <c r="U104" s="454"/>
      <c r="V104" s="745">
        <v>1605473334</v>
      </c>
      <c r="W104" s="600"/>
      <c r="X104" s="600">
        <f>SUM(U104)</f>
        <v>0</v>
      </c>
      <c r="Y104" s="600"/>
      <c r="Z104" s="600">
        <f t="shared" si="54"/>
        <v>1044526666</v>
      </c>
      <c r="AA104" s="600">
        <v>1019997500</v>
      </c>
      <c r="AB104" s="600">
        <v>1044526666</v>
      </c>
      <c r="AC104" s="600">
        <f>SUM(AA104-AB104)</f>
        <v>-24529166</v>
      </c>
      <c r="AD104" s="600">
        <f t="shared" si="56"/>
        <v>0</v>
      </c>
      <c r="AE104" s="600"/>
      <c r="AF104" s="600">
        <f t="shared" si="61"/>
        <v>0</v>
      </c>
      <c r="AG104" s="686">
        <f t="shared" si="58"/>
        <v>2650000000</v>
      </c>
      <c r="AH104" s="377">
        <f t="shared" si="59"/>
        <v>1</v>
      </c>
      <c r="AI104" s="460"/>
      <c r="AJ104" s="461"/>
      <c r="AK104" s="462" t="e">
        <f>SUM(AD104-AE104-#REF!-#REF!)</f>
        <v>#REF!</v>
      </c>
      <c r="AL104" s="701">
        <f t="shared" si="60"/>
        <v>1</v>
      </c>
      <c r="AM104" s="463"/>
      <c r="AN104" s="175"/>
      <c r="AO104" s="700">
        <f>SUM(N104-AB104)</f>
        <v>1605473334</v>
      </c>
      <c r="AP104" s="52"/>
      <c r="AQ104" s="52"/>
    </row>
    <row r="105" spans="1:47" ht="102.75" customHeight="1" x14ac:dyDescent="0.35">
      <c r="A105" s="438"/>
      <c r="B105" s="451">
        <v>505</v>
      </c>
      <c r="C105" s="451">
        <v>1000</v>
      </c>
      <c r="D105" s="452">
        <v>2</v>
      </c>
      <c r="E105" s="452" t="s">
        <v>87</v>
      </c>
      <c r="F105" s="452" t="s">
        <v>87</v>
      </c>
      <c r="G105" s="452" t="s">
        <v>90</v>
      </c>
      <c r="H105" s="638">
        <v>11</v>
      </c>
      <c r="I105" s="451" t="s">
        <v>88</v>
      </c>
      <c r="J105" s="712" t="s">
        <v>641</v>
      </c>
      <c r="K105" s="457"/>
      <c r="L105" s="458"/>
      <c r="M105" s="458"/>
      <c r="N105" s="430">
        <v>5000000000</v>
      </c>
      <c r="O105" s="430"/>
      <c r="P105" s="430"/>
      <c r="Q105" s="430">
        <f t="shared" si="52"/>
        <v>5000000000</v>
      </c>
      <c r="R105" s="454"/>
      <c r="S105" s="454"/>
      <c r="T105" s="454"/>
      <c r="U105" s="454"/>
      <c r="V105" s="600">
        <v>50000000</v>
      </c>
      <c r="W105" s="600"/>
      <c r="X105" s="600"/>
      <c r="Y105" s="745">
        <v>334000000</v>
      </c>
      <c r="Z105" s="600">
        <f t="shared" si="54"/>
        <v>4616000000</v>
      </c>
      <c r="AA105" s="600">
        <v>4054572959.5</v>
      </c>
      <c r="AB105" s="600">
        <v>3817679594</v>
      </c>
      <c r="AC105" s="600"/>
      <c r="AD105" s="600">
        <f t="shared" si="56"/>
        <v>798320406</v>
      </c>
      <c r="AE105" s="600">
        <v>199774533</v>
      </c>
      <c r="AF105" s="600">
        <f t="shared" si="61"/>
        <v>598545873</v>
      </c>
      <c r="AG105" s="686">
        <f t="shared" si="58"/>
        <v>4201679594</v>
      </c>
      <c r="AH105" s="377">
        <f t="shared" si="59"/>
        <v>0.82705363821490463</v>
      </c>
      <c r="AI105" s="460"/>
      <c r="AJ105" s="461"/>
      <c r="AK105" s="462"/>
      <c r="AL105" s="701">
        <f t="shared" si="60"/>
        <v>0.84033591880000003</v>
      </c>
      <c r="AM105" s="463"/>
      <c r="AN105" s="175"/>
      <c r="AO105" s="464"/>
      <c r="AP105" s="52"/>
      <c r="AQ105" s="52"/>
    </row>
    <row r="106" spans="1:47" ht="78.75" customHeight="1" x14ac:dyDescent="0.35">
      <c r="A106" s="438" t="s">
        <v>92</v>
      </c>
      <c r="B106" s="451">
        <v>599</v>
      </c>
      <c r="C106" s="451">
        <v>1000</v>
      </c>
      <c r="D106" s="452">
        <v>1</v>
      </c>
      <c r="E106" s="452" t="s">
        <v>87</v>
      </c>
      <c r="F106" s="452" t="s">
        <v>87</v>
      </c>
      <c r="G106" s="452" t="s">
        <v>90</v>
      </c>
      <c r="H106" s="451">
        <v>10</v>
      </c>
      <c r="I106" s="451" t="s">
        <v>88</v>
      </c>
      <c r="J106" s="712" t="s">
        <v>421</v>
      </c>
      <c r="K106" s="453"/>
      <c r="L106" s="453"/>
      <c r="M106" s="453"/>
      <c r="N106" s="430">
        <v>90678600</v>
      </c>
      <c r="O106" s="430"/>
      <c r="P106" s="430"/>
      <c r="Q106" s="430">
        <f t="shared" si="52"/>
        <v>90678600</v>
      </c>
      <c r="R106" s="454"/>
      <c r="S106" s="454"/>
      <c r="T106" s="454"/>
      <c r="U106" s="454"/>
      <c r="V106" s="600"/>
      <c r="W106" s="600">
        <v>90286552.870000005</v>
      </c>
      <c r="X106" s="600">
        <f t="shared" si="53"/>
        <v>0</v>
      </c>
      <c r="Y106" s="600"/>
      <c r="Z106" s="600">
        <f t="shared" si="54"/>
        <v>392047.12999999523</v>
      </c>
      <c r="AA106" s="600"/>
      <c r="AB106" s="600"/>
      <c r="AC106" s="600">
        <f t="shared" si="55"/>
        <v>0</v>
      </c>
      <c r="AD106" s="600">
        <f t="shared" si="56"/>
        <v>392047.12999999523</v>
      </c>
      <c r="AE106" s="600"/>
      <c r="AF106" s="600">
        <f t="shared" si="61"/>
        <v>392047.12999999523</v>
      </c>
      <c r="AG106" s="686">
        <f t="shared" si="58"/>
        <v>90286552.870000005</v>
      </c>
      <c r="AH106" s="377">
        <f>AB106/(AB106+AE106+AF106)</f>
        <v>0</v>
      </c>
      <c r="AI106" s="378"/>
      <c r="AJ106" s="379"/>
      <c r="AK106" s="380" t="e">
        <f>SUM(AD106-AE106-#REF!-#REF!)</f>
        <v>#REF!</v>
      </c>
      <c r="AL106" s="701">
        <f t="shared" si="60"/>
        <v>0.99567651981834748</v>
      </c>
      <c r="AM106" s="455"/>
      <c r="AN106" s="175"/>
      <c r="AO106" s="465"/>
      <c r="AP106" s="52"/>
      <c r="AQ106" s="52"/>
    </row>
    <row r="107" spans="1:47" ht="93" customHeight="1" x14ac:dyDescent="0.35">
      <c r="A107" s="438" t="s">
        <v>92</v>
      </c>
      <c r="B107" s="451">
        <v>599</v>
      </c>
      <c r="C107" s="451">
        <v>1000</v>
      </c>
      <c r="D107" s="452">
        <v>2</v>
      </c>
      <c r="E107" s="452" t="s">
        <v>87</v>
      </c>
      <c r="F107" s="452" t="s">
        <v>87</v>
      </c>
      <c r="G107" s="452" t="s">
        <v>90</v>
      </c>
      <c r="H107" s="451">
        <v>10</v>
      </c>
      <c r="I107" s="451" t="s">
        <v>88</v>
      </c>
      <c r="J107" s="712" t="s">
        <v>422</v>
      </c>
      <c r="K107" s="453"/>
      <c r="L107" s="453"/>
      <c r="M107" s="453"/>
      <c r="N107" s="430">
        <v>2040000000</v>
      </c>
      <c r="O107" s="430"/>
      <c r="P107" s="430">
        <v>200000000</v>
      </c>
      <c r="Q107" s="430">
        <f t="shared" si="52"/>
        <v>1840000000</v>
      </c>
      <c r="R107" s="454"/>
      <c r="S107" s="454"/>
      <c r="T107" s="454"/>
      <c r="U107" s="454"/>
      <c r="V107" s="745">
        <v>463392900</v>
      </c>
      <c r="W107" s="600"/>
      <c r="X107" s="600">
        <f t="shared" si="53"/>
        <v>0</v>
      </c>
      <c r="Y107" s="600">
        <v>9406950</v>
      </c>
      <c r="Z107" s="600">
        <f t="shared" si="54"/>
        <v>1367200150</v>
      </c>
      <c r="AA107" s="600">
        <v>1072552548</v>
      </c>
      <c r="AB107" s="600">
        <v>633197623.52999997</v>
      </c>
      <c r="AC107" s="600">
        <f t="shared" si="55"/>
        <v>439354924.47000003</v>
      </c>
      <c r="AD107" s="600">
        <f t="shared" si="56"/>
        <v>734002526.47000003</v>
      </c>
      <c r="AE107" s="600">
        <v>437246858</v>
      </c>
      <c r="AF107" s="600">
        <f t="shared" si="61"/>
        <v>296755668.47000003</v>
      </c>
      <c r="AG107" s="686">
        <f t="shared" ref="AG107:AG108" si="62">SUM(R107+T107+V107+Y107+W107+AB107)</f>
        <v>1105997473.53</v>
      </c>
      <c r="AH107" s="377">
        <f t="shared" si="59"/>
        <v>0.46313454802502763</v>
      </c>
      <c r="AI107" s="378"/>
      <c r="AJ107" s="379"/>
      <c r="AK107" s="380" t="e">
        <f>SUM(AD107-AE107-#REF!-#REF!)</f>
        <v>#REF!</v>
      </c>
      <c r="AL107" s="701">
        <f t="shared" si="60"/>
        <v>0.60108558344021734</v>
      </c>
      <c r="AM107" s="455"/>
      <c r="AN107" s="175"/>
      <c r="AO107" s="465"/>
      <c r="AP107" s="52"/>
      <c r="AQ107" s="52"/>
    </row>
    <row r="108" spans="1:47" ht="93" customHeight="1" x14ac:dyDescent="0.35">
      <c r="A108" s="438"/>
      <c r="B108" s="451">
        <v>599</v>
      </c>
      <c r="C108" s="451">
        <v>1000</v>
      </c>
      <c r="D108" s="452">
        <v>2</v>
      </c>
      <c r="E108" s="452" t="s">
        <v>87</v>
      </c>
      <c r="F108" s="452" t="s">
        <v>87</v>
      </c>
      <c r="G108" s="452" t="s">
        <v>90</v>
      </c>
      <c r="H108" s="638">
        <v>11</v>
      </c>
      <c r="I108" s="451" t="s">
        <v>88</v>
      </c>
      <c r="J108" s="712" t="s">
        <v>422</v>
      </c>
      <c r="K108" s="453"/>
      <c r="L108" s="453"/>
      <c r="M108" s="453"/>
      <c r="N108" s="430">
        <v>1000000000</v>
      </c>
      <c r="O108" s="430"/>
      <c r="P108" s="430"/>
      <c r="Q108" s="430">
        <f t="shared" si="52"/>
        <v>1000000000</v>
      </c>
      <c r="R108" s="454"/>
      <c r="S108" s="454"/>
      <c r="T108" s="454"/>
      <c r="U108" s="454"/>
      <c r="V108" s="600"/>
      <c r="W108" s="600"/>
      <c r="X108" s="600"/>
      <c r="Y108" s="600"/>
      <c r="Z108" s="600">
        <f t="shared" si="54"/>
        <v>1000000000</v>
      </c>
      <c r="AA108" s="600">
        <v>764930046</v>
      </c>
      <c r="AB108" s="600">
        <v>274956128</v>
      </c>
      <c r="AC108" s="600"/>
      <c r="AD108" s="600">
        <f t="shared" si="56"/>
        <v>725043872</v>
      </c>
      <c r="AE108" s="600">
        <v>507885918</v>
      </c>
      <c r="AF108" s="600">
        <f t="shared" si="61"/>
        <v>217157954</v>
      </c>
      <c r="AG108" s="686">
        <f t="shared" si="62"/>
        <v>274956128</v>
      </c>
      <c r="AH108" s="377">
        <f t="shared" si="59"/>
        <v>0.27495612800000002</v>
      </c>
      <c r="AI108" s="378"/>
      <c r="AJ108" s="379"/>
      <c r="AK108" s="380"/>
      <c r="AL108" s="381">
        <f t="shared" si="60"/>
        <v>0.27495612800000002</v>
      </c>
      <c r="AM108" s="455"/>
      <c r="AN108" s="175"/>
      <c r="AO108" s="465" t="s">
        <v>622</v>
      </c>
      <c r="AP108" s="52"/>
      <c r="AQ108" s="52"/>
    </row>
    <row r="109" spans="1:47" s="467" customFormat="1" ht="53.25" customHeight="1" x14ac:dyDescent="0.35">
      <c r="A109" s="407"/>
      <c r="B109" s="408"/>
      <c r="C109" s="408"/>
      <c r="D109" s="408"/>
      <c r="E109" s="408"/>
      <c r="F109" s="408"/>
      <c r="G109" s="408"/>
      <c r="H109" s="408"/>
      <c r="I109" s="408"/>
      <c r="J109" s="409" t="s">
        <v>423</v>
      </c>
      <c r="K109" s="410"/>
      <c r="L109" s="410"/>
      <c r="M109" s="410"/>
      <c r="N109" s="413">
        <f>SUM(N101:N108)</f>
        <v>21990678600</v>
      </c>
      <c r="O109" s="413">
        <f>SUM(O101:O107)</f>
        <v>0</v>
      </c>
      <c r="P109" s="413">
        <f>SUM(P101:P107)</f>
        <v>490000000</v>
      </c>
      <c r="Q109" s="413">
        <f>SUM(Q101:Q107)</f>
        <v>20500678600</v>
      </c>
      <c r="R109" s="413"/>
      <c r="S109" s="413"/>
      <c r="T109" s="413">
        <f>SUM(T101:T107)</f>
        <v>0</v>
      </c>
      <c r="U109" s="413"/>
      <c r="V109" s="413">
        <f t="shared" ref="V109:Y109" si="63">SUM(V101:V107)</f>
        <v>2118866234</v>
      </c>
      <c r="W109" s="413">
        <f t="shared" si="63"/>
        <v>5981102652.8699999</v>
      </c>
      <c r="X109" s="459">
        <f t="shared" si="63"/>
        <v>0</v>
      </c>
      <c r="Y109" s="414">
        <f t="shared" si="63"/>
        <v>618932442</v>
      </c>
      <c r="Z109" s="413">
        <f>SUM(Z101:Z108)</f>
        <v>12781777271.129999</v>
      </c>
      <c r="AA109" s="413">
        <f>SUM(AA101:AA108)</f>
        <v>10107991187</v>
      </c>
      <c r="AB109" s="413">
        <f>SUM(AB101:AB108)</f>
        <v>8767012810.5299988</v>
      </c>
      <c r="AC109" s="413">
        <f t="shared" ref="AC109:AG109" si="64">SUM(AC101:AC108)</f>
        <v>578710658.47000003</v>
      </c>
      <c r="AD109" s="413">
        <f t="shared" si="64"/>
        <v>4014764460.6000004</v>
      </c>
      <c r="AE109" s="413">
        <f t="shared" si="64"/>
        <v>1350334309</v>
      </c>
      <c r="AF109" s="413">
        <f t="shared" si="64"/>
        <v>2664430151.6000004</v>
      </c>
      <c r="AG109" s="413">
        <f t="shared" si="64"/>
        <v>17485914139.400002</v>
      </c>
      <c r="AH109" s="416">
        <f>AB109/(AB109+AE109+AF109)</f>
        <v>0.68589935691743853</v>
      </c>
      <c r="AI109" s="417"/>
      <c r="AJ109" s="418"/>
      <c r="AK109" s="419" t="e">
        <f>SUM(AD109-AE109-#REF!-#REF!)</f>
        <v>#REF!</v>
      </c>
      <c r="AL109" s="420">
        <f t="shared" si="60"/>
        <v>0.80416431382910414</v>
      </c>
      <c r="AM109" s="455"/>
      <c r="AN109" s="421"/>
      <c r="AO109" s="466"/>
      <c r="AP109" s="423"/>
      <c r="AQ109" s="423"/>
      <c r="AR109" s="450"/>
      <c r="AU109" s="426"/>
    </row>
    <row r="110" spans="1:47" s="483" customFormat="1" x14ac:dyDescent="0.35">
      <c r="A110" s="468" t="s">
        <v>87</v>
      </c>
      <c r="B110" s="469" t="s">
        <v>87</v>
      </c>
      <c r="C110" s="469" t="s">
        <v>87</v>
      </c>
      <c r="D110" s="469" t="s">
        <v>87</v>
      </c>
      <c r="E110" s="469" t="s">
        <v>87</v>
      </c>
      <c r="F110" s="469" t="s">
        <v>87</v>
      </c>
      <c r="G110" s="469" t="s">
        <v>87</v>
      </c>
      <c r="H110" s="469" t="s">
        <v>87</v>
      </c>
      <c r="I110" s="469" t="s">
        <v>87</v>
      </c>
      <c r="J110" s="470"/>
      <c r="K110" s="439"/>
      <c r="L110" s="439"/>
      <c r="M110" s="439"/>
      <c r="N110" s="440"/>
      <c r="O110" s="440"/>
      <c r="P110" s="471"/>
      <c r="Q110" s="471"/>
      <c r="R110" s="471"/>
      <c r="S110" s="471"/>
      <c r="T110" s="471"/>
      <c r="U110" s="471"/>
      <c r="V110" s="471"/>
      <c r="W110" s="471"/>
      <c r="X110" s="472" t="s">
        <v>424</v>
      </c>
      <c r="Y110" s="473"/>
      <c r="Z110" s="471"/>
      <c r="AA110" s="471"/>
      <c r="AB110" s="471"/>
      <c r="AC110" s="474">
        <f>SUM(Z109-AB109)</f>
        <v>4014764460.6000004</v>
      </c>
      <c r="AD110" s="475">
        <f>SUM(Z109-AB109)</f>
        <v>4014764460.6000004</v>
      </c>
      <c r="AE110" s="473"/>
      <c r="AF110" s="473">
        <f>SUM(AD109-AE109)</f>
        <v>2664430151.6000004</v>
      </c>
      <c r="AG110" s="476"/>
      <c r="AH110" s="477"/>
      <c r="AI110" s="478"/>
      <c r="AJ110" s="479"/>
      <c r="AK110" s="480"/>
      <c r="AL110" s="481"/>
      <c r="AM110" s="482"/>
      <c r="AO110" s="484"/>
      <c r="AP110" s="485"/>
      <c r="AQ110" s="485"/>
      <c r="AR110" s="124"/>
      <c r="AU110" s="125"/>
    </row>
    <row r="111" spans="1:47" s="483" customFormat="1" ht="27.75" customHeight="1" x14ac:dyDescent="0.35">
      <c r="A111" s="10"/>
      <c r="B111" s="10"/>
      <c r="C111" s="10"/>
      <c r="D111" s="10"/>
      <c r="E111" s="10"/>
      <c r="F111" s="10"/>
      <c r="G111" s="10"/>
      <c r="H111" s="10"/>
      <c r="I111" s="10"/>
      <c r="J111" s="486"/>
      <c r="K111" s="10"/>
      <c r="L111" s="10"/>
      <c r="M111" s="487"/>
      <c r="N111" s="488"/>
      <c r="O111" s="488"/>
      <c r="P111" s="488"/>
      <c r="Q111" s="489"/>
      <c r="R111" s="489"/>
      <c r="S111" s="489"/>
      <c r="T111" s="490"/>
      <c r="U111" s="490"/>
      <c r="V111" s="490"/>
      <c r="W111" s="488"/>
      <c r="X111" s="491"/>
      <c r="Y111" s="492"/>
      <c r="Z111" s="488"/>
      <c r="AA111" s="493"/>
      <c r="AB111" s="493"/>
      <c r="AC111" s="493"/>
      <c r="AD111" s="492"/>
      <c r="AE111" s="494" t="e">
        <f>AE101+AE107+AE102+#REF!</f>
        <v>#REF!</v>
      </c>
      <c r="AF111" s="494" t="e">
        <f>AF101+AF107+AF102+#REF!</f>
        <v>#REF!</v>
      </c>
      <c r="AG111" s="495"/>
      <c r="AH111" s="496"/>
      <c r="AI111" s="492"/>
      <c r="AJ111" s="497"/>
      <c r="AL111" s="498"/>
      <c r="AM111" s="482"/>
      <c r="AP111" s="123"/>
      <c r="AQ111" s="123"/>
      <c r="AR111" s="124"/>
      <c r="AU111" s="125"/>
    </row>
    <row r="112" spans="1:47" s="483" customFormat="1" ht="66" customHeight="1" x14ac:dyDescent="0.35">
      <c r="A112" s="10"/>
      <c r="B112" s="10"/>
      <c r="C112" s="10"/>
      <c r="D112" s="10"/>
      <c r="E112" s="10"/>
      <c r="F112" s="10"/>
      <c r="G112" s="10"/>
      <c r="H112" s="10"/>
      <c r="I112" s="10"/>
      <c r="J112" s="486"/>
      <c r="K112" s="10"/>
      <c r="L112" s="10"/>
      <c r="M112" s="487"/>
      <c r="N112" s="488"/>
      <c r="O112" s="488"/>
      <c r="P112" s="488"/>
      <c r="Q112" s="489"/>
      <c r="R112" s="489"/>
      <c r="S112" s="489"/>
      <c r="T112" s="490"/>
      <c r="U112" s="490"/>
      <c r="V112" s="490"/>
      <c r="W112" s="859" t="s">
        <v>224</v>
      </c>
      <c r="X112" s="860"/>
      <c r="Y112" s="860"/>
      <c r="Z112" s="860"/>
      <c r="AA112" s="860"/>
      <c r="AB112" s="860"/>
      <c r="AC112" s="860"/>
      <c r="AD112" s="860"/>
      <c r="AE112" s="860"/>
      <c r="AF112" s="860"/>
      <c r="AG112" s="860"/>
      <c r="AH112" s="499"/>
      <c r="AI112" s="500"/>
      <c r="AJ112" s="500"/>
      <c r="AK112" s="500"/>
      <c r="AL112" s="500"/>
      <c r="AM112" s="482"/>
      <c r="AP112" s="123"/>
      <c r="AQ112" s="123"/>
      <c r="AR112" s="124"/>
      <c r="AU112" s="125"/>
    </row>
    <row r="113" spans="1:47" s="483" customFormat="1" ht="81.75" customHeight="1" x14ac:dyDescent="0.35">
      <c r="A113" s="10"/>
      <c r="B113" s="10"/>
      <c r="C113" s="10"/>
      <c r="D113" s="10"/>
      <c r="E113" s="10"/>
      <c r="F113" s="10"/>
      <c r="G113" s="10"/>
      <c r="H113" s="10"/>
      <c r="I113" s="10"/>
      <c r="J113" s="501"/>
      <c r="K113" s="10"/>
      <c r="L113" s="10"/>
      <c r="M113" s="10"/>
      <c r="N113" s="490"/>
      <c r="O113" s="490"/>
      <c r="P113" s="502"/>
      <c r="Q113" s="502"/>
      <c r="R113" s="502"/>
      <c r="S113" s="502"/>
      <c r="T113" s="490"/>
      <c r="U113" s="490"/>
      <c r="V113" s="490"/>
      <c r="W113" s="861" t="s">
        <v>425</v>
      </c>
      <c r="X113" s="862"/>
      <c r="Y113" s="863"/>
      <c r="Z113" s="503" t="s">
        <v>426</v>
      </c>
      <c r="AA113" s="504" t="s">
        <v>341</v>
      </c>
      <c r="AB113" s="505" t="s">
        <v>342</v>
      </c>
      <c r="AC113" s="506" t="s">
        <v>427</v>
      </c>
      <c r="AD113" s="507" t="s">
        <v>344</v>
      </c>
      <c r="AE113" s="507" t="s">
        <v>345</v>
      </c>
      <c r="AF113" s="507" t="s">
        <v>346</v>
      </c>
      <c r="AG113" s="508" t="s">
        <v>428</v>
      </c>
      <c r="AH113" s="508"/>
      <c r="AI113" s="508" t="s">
        <v>347</v>
      </c>
      <c r="AJ113" s="508" t="s">
        <v>347</v>
      </c>
      <c r="AK113" s="508" t="s">
        <v>347</v>
      </c>
      <c r="AL113" s="508" t="s">
        <v>330</v>
      </c>
      <c r="AM113" s="482"/>
      <c r="AP113" s="123"/>
      <c r="AQ113" s="123"/>
      <c r="AR113" s="124"/>
      <c r="AU113" s="125"/>
    </row>
    <row r="114" spans="1:47" s="483" customFormat="1" ht="60.75" customHeight="1" x14ac:dyDescent="0.35">
      <c r="A114" s="10"/>
      <c r="B114" s="10"/>
      <c r="C114" s="10"/>
      <c r="D114" s="10"/>
      <c r="E114" s="10"/>
      <c r="F114" s="10"/>
      <c r="G114" s="10"/>
      <c r="H114" s="10"/>
      <c r="I114" s="10"/>
      <c r="J114" s="509"/>
      <c r="K114" s="510"/>
      <c r="L114" s="510"/>
      <c r="M114" s="510"/>
      <c r="N114" s="511"/>
      <c r="O114" s="511"/>
      <c r="P114" s="511"/>
      <c r="Q114" s="512"/>
      <c r="R114" s="512"/>
      <c r="S114" s="512"/>
      <c r="T114" s="490"/>
      <c r="U114" s="490"/>
      <c r="V114" s="490"/>
      <c r="W114" s="864" t="s">
        <v>429</v>
      </c>
      <c r="X114" s="864"/>
      <c r="Y114" s="864"/>
      <c r="Z114" s="513">
        <f t="shared" ref="Z114:AF114" si="65">SUM(Z92)</f>
        <v>1526088118.99</v>
      </c>
      <c r="AA114" s="513">
        <f t="shared" si="65"/>
        <v>1066936150.7</v>
      </c>
      <c r="AB114" s="513">
        <f t="shared" si="65"/>
        <v>503016739.31999999</v>
      </c>
      <c r="AC114" s="513">
        <f t="shared" si="65"/>
        <v>570407617.38</v>
      </c>
      <c r="AD114" s="513">
        <f t="shared" si="65"/>
        <v>1023071379.67</v>
      </c>
      <c r="AE114" s="513">
        <f t="shared" si="65"/>
        <v>496956118.69999999</v>
      </c>
      <c r="AF114" s="513">
        <f t="shared" si="65"/>
        <v>526115260.96999997</v>
      </c>
      <c r="AG114" s="684">
        <f>AB114/(AB114+AE114+AF114)</f>
        <v>0.32961185731064335</v>
      </c>
      <c r="AH114" s="514"/>
      <c r="AI114" s="515"/>
      <c r="AJ114" s="516"/>
      <c r="AK114" s="517"/>
      <c r="AL114" s="518"/>
      <c r="AM114" s="519"/>
      <c r="AP114" s="123"/>
      <c r="AQ114" s="123"/>
      <c r="AR114" s="124"/>
      <c r="AU114" s="125"/>
    </row>
    <row r="115" spans="1:47" s="483" customFormat="1" ht="45" customHeight="1" x14ac:dyDescent="0.35">
      <c r="A115" s="10"/>
      <c r="B115" s="10"/>
      <c r="C115" s="10"/>
      <c r="D115" s="10"/>
      <c r="E115" s="10"/>
      <c r="F115" s="10"/>
      <c r="G115" s="10"/>
      <c r="H115" s="10"/>
      <c r="I115" s="10"/>
      <c r="J115" s="520"/>
      <c r="K115" s="521"/>
      <c r="L115" s="522"/>
      <c r="M115" s="523"/>
      <c r="N115" s="502"/>
      <c r="O115" s="502"/>
      <c r="P115" s="502"/>
      <c r="Q115" s="502"/>
      <c r="R115" s="502"/>
      <c r="S115" s="502"/>
      <c r="T115" s="502"/>
      <c r="U115" s="502"/>
      <c r="V115" s="502"/>
      <c r="W115" s="874" t="s">
        <v>430</v>
      </c>
      <c r="X115" s="874"/>
      <c r="Y115" s="874"/>
      <c r="Z115" s="513">
        <f t="shared" ref="Z115:AE115" si="66">SUM(Z109)</f>
        <v>12781777271.129999</v>
      </c>
      <c r="AA115" s="513">
        <f t="shared" si="66"/>
        <v>10107991187</v>
      </c>
      <c r="AB115" s="513">
        <f t="shared" si="66"/>
        <v>8767012810.5299988</v>
      </c>
      <c r="AC115" s="513">
        <f t="shared" si="66"/>
        <v>578710658.47000003</v>
      </c>
      <c r="AD115" s="513">
        <f t="shared" si="66"/>
        <v>4014764460.6000004</v>
      </c>
      <c r="AE115" s="513">
        <f t="shared" si="66"/>
        <v>1350334309</v>
      </c>
      <c r="AF115" s="513">
        <f>SUM(AF109)</f>
        <v>2664430151.6000004</v>
      </c>
      <c r="AG115" s="684">
        <f>AB115/(AB115+AE115+AF115)</f>
        <v>0.68589935691743853</v>
      </c>
      <c r="AH115" s="514"/>
      <c r="AI115" s="515"/>
      <c r="AJ115" s="516"/>
      <c r="AK115" s="517"/>
      <c r="AL115" s="518">
        <f>SUM(AL109)</f>
        <v>0.80416431382910414</v>
      </c>
      <c r="AM115" s="519"/>
      <c r="AP115" s="123"/>
      <c r="AQ115" s="123"/>
      <c r="AR115" s="124"/>
      <c r="AU115" s="125"/>
    </row>
    <row r="116" spans="1:47" s="483" customFormat="1" ht="45.75" customHeight="1" x14ac:dyDescent="0.35">
      <c r="A116" s="10"/>
      <c r="B116" s="10"/>
      <c r="C116" s="10"/>
      <c r="D116" s="10"/>
      <c r="E116" s="10"/>
      <c r="F116" s="10"/>
      <c r="G116" s="10"/>
      <c r="H116" s="10"/>
      <c r="I116" s="10"/>
      <c r="J116" s="524"/>
      <c r="K116" s="521"/>
      <c r="L116" s="522"/>
      <c r="M116" s="523"/>
      <c r="N116" s="502"/>
      <c r="O116" s="502"/>
      <c r="P116" s="502"/>
      <c r="Q116" s="502"/>
      <c r="R116" s="502"/>
      <c r="S116" s="502"/>
      <c r="T116" s="502"/>
      <c r="U116" s="502"/>
      <c r="V116" s="502"/>
      <c r="W116" s="875" t="s">
        <v>431</v>
      </c>
      <c r="X116" s="876"/>
      <c r="Y116" s="877"/>
      <c r="Z116" s="513">
        <f t="shared" ref="Z116:AF116" si="67">SUM(Z114:Z115)</f>
        <v>14307865390.119999</v>
      </c>
      <c r="AA116" s="513">
        <f t="shared" si="67"/>
        <v>11174927337.700001</v>
      </c>
      <c r="AB116" s="513">
        <f t="shared" si="67"/>
        <v>9270029549.8499985</v>
      </c>
      <c r="AC116" s="513">
        <f t="shared" si="67"/>
        <v>1149118275.8499999</v>
      </c>
      <c r="AD116" s="774">
        <f>SUM(AD114:AD115)</f>
        <v>5037835840.2700005</v>
      </c>
      <c r="AE116" s="513">
        <f t="shared" si="67"/>
        <v>1847290427.7</v>
      </c>
      <c r="AF116" s="513">
        <f t="shared" si="67"/>
        <v>3190545412.5700002</v>
      </c>
      <c r="AG116" s="684">
        <f>AB116/(AB116+AE116+AF116)</f>
        <v>0.64789745340008764</v>
      </c>
      <c r="AH116" s="514"/>
      <c r="AI116" s="514" t="e">
        <f>AVERAGE(AI114:AI115)</f>
        <v>#DIV/0!</v>
      </c>
      <c r="AJ116" s="514" t="e">
        <f>AVERAGE(AJ114:AJ115)</f>
        <v>#DIV/0!</v>
      </c>
      <c r="AK116" s="514" t="e">
        <f>AVERAGE(AK114:AK115)</f>
        <v>#DIV/0!</v>
      </c>
      <c r="AL116" s="514">
        <f>AVERAGE(AL114:AL115)</f>
        <v>0.80416431382910414</v>
      </c>
      <c r="AM116" s="482"/>
      <c r="AP116" s="123"/>
      <c r="AQ116" s="123"/>
      <c r="AR116" s="124"/>
      <c r="AU116" s="125"/>
    </row>
    <row r="117" spans="1:47" s="483" customFormat="1" ht="55.9" customHeight="1" x14ac:dyDescent="0.35">
      <c r="A117" s="10"/>
      <c r="B117" s="10"/>
      <c r="C117" s="10"/>
      <c r="D117" s="10"/>
      <c r="E117" s="10"/>
      <c r="F117" s="10"/>
      <c r="G117" s="10"/>
      <c r="H117" s="10"/>
      <c r="I117" s="10"/>
      <c r="J117" s="524"/>
      <c r="K117" s="521"/>
      <c r="L117" s="522"/>
      <c r="M117" s="523"/>
      <c r="N117" s="502"/>
      <c r="O117" s="502"/>
      <c r="P117" s="502"/>
      <c r="Q117" s="502"/>
      <c r="R117" s="502"/>
      <c r="S117" s="502"/>
      <c r="T117" s="502"/>
      <c r="U117" s="502"/>
      <c r="V117" s="502"/>
      <c r="W117" s="502"/>
      <c r="X117" s="525"/>
      <c r="Y117" s="502"/>
      <c r="Z117" s="878"/>
      <c r="AA117" s="879"/>
      <c r="AB117" s="879"/>
      <c r="AC117" s="879"/>
      <c r="AD117" s="879"/>
      <c r="AE117" s="879"/>
      <c r="AF117" s="880"/>
      <c r="AG117" s="526"/>
      <c r="AH117" s="511"/>
      <c r="AI117" s="490"/>
      <c r="AJ117" s="441"/>
      <c r="AL117" s="498"/>
      <c r="AM117" s="482"/>
      <c r="AP117" s="123"/>
      <c r="AQ117" s="123"/>
      <c r="AR117" s="124"/>
      <c r="AU117" s="125"/>
    </row>
    <row r="118" spans="1:47" s="483" customFormat="1" ht="32.25" customHeight="1" x14ac:dyDescent="0.35">
      <c r="A118" s="10"/>
      <c r="B118" s="10"/>
      <c r="C118" s="10"/>
      <c r="D118" s="10"/>
      <c r="E118" s="10"/>
      <c r="F118" s="10"/>
      <c r="G118" s="10"/>
      <c r="H118" s="10"/>
      <c r="I118" s="10"/>
      <c r="J118" s="527"/>
      <c r="K118" s="528"/>
      <c r="L118" s="471"/>
      <c r="M118" s="529"/>
      <c r="N118" s="502"/>
      <c r="O118" s="502"/>
      <c r="P118" s="502"/>
      <c r="Q118" s="530"/>
      <c r="R118" s="530"/>
      <c r="S118" s="530"/>
      <c r="T118" s="502"/>
      <c r="U118" s="502"/>
      <c r="V118" s="502"/>
      <c r="W118" s="502"/>
      <c r="X118" s="525"/>
      <c r="Y118" s="502"/>
      <c r="Z118" s="531">
        <f>SUBTOTAL(9,Z101:Z107)</f>
        <v>11781777271.129999</v>
      </c>
      <c r="AA118" s="532">
        <f>SUBTOTAL(9,AA101:AA107)</f>
        <v>9343061141</v>
      </c>
      <c r="AB118" s="532">
        <f>SUBTOTAL(9,AB101:AB107)</f>
        <v>8492056682.5299997</v>
      </c>
      <c r="AC118" s="532">
        <f>SUM(AA116-AB116)</f>
        <v>1904897787.8500023</v>
      </c>
      <c r="AD118" s="532">
        <f>SUM(Z116-AB116)</f>
        <v>5037835840.2700005</v>
      </c>
      <c r="AE118" s="532">
        <f>SUM(AA116-AB116)</f>
        <v>1904897787.8500023</v>
      </c>
      <c r="AF118" s="533">
        <f>SUM(AD115-AE115)</f>
        <v>2664430151.6000004</v>
      </c>
      <c r="AG118" s="534"/>
      <c r="AH118" s="535"/>
      <c r="AI118" s="536"/>
      <c r="AJ118" s="441"/>
      <c r="AL118" s="498"/>
      <c r="AM118" s="482"/>
      <c r="AP118" s="123"/>
      <c r="AQ118" s="123"/>
      <c r="AR118" s="124"/>
      <c r="AU118" s="125"/>
    </row>
    <row r="119" spans="1:47" s="483" customFormat="1" x14ac:dyDescent="0.35">
      <c r="A119" s="10"/>
      <c r="B119" s="10"/>
      <c r="C119" s="10"/>
      <c r="D119" s="10"/>
      <c r="E119" s="10"/>
      <c r="F119" s="10"/>
      <c r="G119" s="10"/>
      <c r="H119" s="10"/>
      <c r="I119" s="10"/>
      <c r="J119" s="524"/>
      <c r="K119" s="537"/>
      <c r="L119" s="538"/>
      <c r="M119" s="539"/>
      <c r="N119" s="490"/>
      <c r="O119" s="490"/>
      <c r="P119" s="490"/>
      <c r="Q119" s="540"/>
      <c r="R119" s="540"/>
      <c r="S119" s="540"/>
      <c r="T119" s="502"/>
      <c r="U119" s="502"/>
      <c r="V119" s="490"/>
      <c r="W119" s="490"/>
      <c r="X119" s="541"/>
      <c r="Y119" s="490"/>
      <c r="Z119" s="531"/>
      <c r="AA119" s="532"/>
      <c r="AB119" s="532"/>
      <c r="AC119" s="532"/>
      <c r="AD119" s="532"/>
      <c r="AE119" s="532"/>
      <c r="AF119" s="533">
        <f>SUM(AD114-AE114)</f>
        <v>526115260.96999997</v>
      </c>
      <c r="AG119" s="534"/>
      <c r="AH119" s="535"/>
      <c r="AI119" s="536"/>
      <c r="AJ119" s="441"/>
      <c r="AL119" s="498"/>
      <c r="AM119" s="482"/>
      <c r="AP119" s="123"/>
      <c r="AQ119" s="123"/>
      <c r="AR119" s="124"/>
      <c r="AU119" s="125"/>
    </row>
    <row r="120" spans="1:47" s="483" customFormat="1" ht="24" thickBot="1" x14ac:dyDescent="0.4">
      <c r="A120" s="10"/>
      <c r="B120" s="10"/>
      <c r="C120" s="10"/>
      <c r="D120" s="10"/>
      <c r="E120" s="10"/>
      <c r="F120" s="10"/>
      <c r="G120" s="10"/>
      <c r="H120" s="10"/>
      <c r="I120" s="10"/>
      <c r="J120" s="524"/>
      <c r="K120" s="521"/>
      <c r="L120" s="522"/>
      <c r="M120" s="523"/>
      <c r="N120" s="502"/>
      <c r="O120" s="502"/>
      <c r="P120" s="502"/>
      <c r="Q120" s="530"/>
      <c r="R120" s="530"/>
      <c r="S120" s="530"/>
      <c r="T120" s="502"/>
      <c r="U120" s="502"/>
      <c r="V120" s="502"/>
      <c r="W120" s="502"/>
      <c r="X120" s="525"/>
      <c r="Y120" s="502"/>
      <c r="Z120" s="542" t="s">
        <v>350</v>
      </c>
      <c r="AA120" s="543"/>
      <c r="AB120" s="543"/>
      <c r="AC120" s="543"/>
      <c r="AD120" s="543">
        <f>SUM(AD116-AE116)</f>
        <v>3190545412.5700006</v>
      </c>
      <c r="AE120" s="543">
        <f>SUM(AF120-AF116)</f>
        <v>4.76837158203125E-7</v>
      </c>
      <c r="AF120" s="544">
        <f>SUM(AD116-AE116)</f>
        <v>3190545412.5700006</v>
      </c>
      <c r="AG120" s="534"/>
      <c r="AH120" s="535"/>
      <c r="AI120" s="536"/>
      <c r="AJ120" s="441"/>
      <c r="AL120" s="498"/>
      <c r="AM120" s="482"/>
      <c r="AP120" s="123"/>
      <c r="AQ120" s="123"/>
      <c r="AR120" s="124"/>
      <c r="AU120" s="125"/>
    </row>
    <row r="121" spans="1:47" s="483" customFormat="1" ht="93" customHeight="1" x14ac:dyDescent="0.35">
      <c r="A121" s="10"/>
      <c r="B121" s="10"/>
      <c r="C121" s="10"/>
      <c r="D121" s="10"/>
      <c r="E121" s="10"/>
      <c r="F121" s="10"/>
      <c r="G121" s="10"/>
      <c r="H121" s="10"/>
      <c r="I121" s="10"/>
      <c r="J121" s="524"/>
      <c r="K121" s="521"/>
      <c r="L121" s="522"/>
      <c r="M121" s="523"/>
      <c r="N121" s="502"/>
      <c r="O121" s="502"/>
      <c r="P121" s="502"/>
      <c r="Q121" s="502"/>
      <c r="R121" s="502"/>
      <c r="S121" s="502"/>
      <c r="T121" s="502"/>
      <c r="U121" s="502"/>
      <c r="V121" s="502"/>
      <c r="W121" s="502"/>
      <c r="X121" s="525"/>
      <c r="Y121" s="502"/>
      <c r="Z121" s="490"/>
      <c r="AA121" s="545"/>
      <c r="AB121" s="546"/>
      <c r="AC121" s="490"/>
      <c r="AD121" s="546"/>
      <c r="AE121" s="490"/>
      <c r="AF121" s="490"/>
      <c r="AG121" s="547"/>
      <c r="AH121" s="511"/>
      <c r="AI121" s="490"/>
      <c r="AJ121" s="548"/>
      <c r="AL121" s="498"/>
      <c r="AM121" s="482"/>
      <c r="AP121" s="123"/>
      <c r="AQ121" s="123"/>
      <c r="AR121" s="124"/>
      <c r="AU121" s="125"/>
    </row>
    <row r="122" spans="1:47" s="483" customFormat="1" ht="58.15" customHeight="1" x14ac:dyDescent="0.35">
      <c r="A122" s="10"/>
      <c r="B122" s="10"/>
      <c r="C122" s="10"/>
      <c r="D122" s="10"/>
      <c r="E122" s="10"/>
      <c r="F122" s="10"/>
      <c r="G122" s="10"/>
      <c r="H122" s="10"/>
      <c r="I122" s="10"/>
      <c r="J122" s="527"/>
      <c r="K122" s="528"/>
      <c r="L122" s="471"/>
      <c r="M122" s="529"/>
      <c r="N122" s="502"/>
      <c r="O122" s="502"/>
      <c r="P122" s="502"/>
      <c r="Q122" s="502"/>
      <c r="R122" s="502"/>
      <c r="S122" s="502"/>
      <c r="T122" s="502"/>
      <c r="U122" s="502"/>
      <c r="V122" s="502"/>
      <c r="W122" s="502"/>
      <c r="X122" s="525"/>
      <c r="Y122" s="549"/>
      <c r="Z122" s="550"/>
      <c r="AA122" s="550"/>
      <c r="AB122" s="551"/>
      <c r="AC122" s="551"/>
      <c r="AD122" s="551"/>
      <c r="AE122" s="551"/>
      <c r="AF122" s="551"/>
      <c r="AG122" s="547"/>
      <c r="AH122" s="511"/>
      <c r="AI122" s="437"/>
      <c r="AJ122" s="552"/>
      <c r="AK122" s="437"/>
      <c r="AL122" s="850"/>
      <c r="AM122" s="482"/>
      <c r="AP122" s="123"/>
      <c r="AQ122" s="123"/>
      <c r="AR122" s="124"/>
      <c r="AU122" s="125"/>
    </row>
    <row r="123" spans="1:47" s="483" customFormat="1" ht="31.9" customHeight="1" x14ac:dyDescent="0.35">
      <c r="A123" s="10"/>
      <c r="B123" s="10"/>
      <c r="C123" s="10"/>
      <c r="D123" s="10"/>
      <c r="E123" s="10"/>
      <c r="F123" s="10"/>
      <c r="G123" s="10"/>
      <c r="H123" s="10"/>
      <c r="I123" s="10"/>
      <c r="J123" s="524"/>
      <c r="K123" s="537"/>
      <c r="L123" s="538"/>
      <c r="M123" s="539"/>
      <c r="N123" s="490"/>
      <c r="O123" s="490"/>
      <c r="P123" s="490"/>
      <c r="Q123" s="540"/>
      <c r="R123" s="540"/>
      <c r="S123" s="540"/>
      <c r="T123" s="490"/>
      <c r="U123" s="490"/>
      <c r="V123" s="490"/>
      <c r="W123" s="490"/>
      <c r="X123" s="541"/>
      <c r="Y123" s="553"/>
      <c r="Z123" s="554"/>
      <c r="AA123" s="554"/>
      <c r="AB123" s="554"/>
      <c r="AC123" s="554"/>
      <c r="AD123" s="554"/>
      <c r="AE123" s="851"/>
      <c r="AF123" s="852"/>
      <c r="AG123" s="555"/>
      <c r="AH123" s="556"/>
      <c r="AI123" s="556"/>
      <c r="AJ123" s="552"/>
      <c r="AK123" s="557"/>
      <c r="AL123" s="850"/>
      <c r="AM123" s="482"/>
      <c r="AP123" s="123"/>
      <c r="AQ123" s="123"/>
      <c r="AR123" s="124"/>
      <c r="AU123" s="125"/>
    </row>
    <row r="124" spans="1:47" s="483" customFormat="1" ht="51" customHeight="1" x14ac:dyDescent="0.4">
      <c r="A124" s="10"/>
      <c r="B124" s="10"/>
      <c r="C124" s="10"/>
      <c r="D124" s="10"/>
      <c r="E124" s="10"/>
      <c r="F124" s="10"/>
      <c r="G124" s="10"/>
      <c r="H124" s="10"/>
      <c r="I124" s="10"/>
      <c r="J124" s="527"/>
      <c r="K124" s="528"/>
      <c r="L124" s="471"/>
      <c r="M124" s="529"/>
      <c r="N124" s="502"/>
      <c r="O124" s="502"/>
      <c r="P124" s="502"/>
      <c r="Q124" s="530"/>
      <c r="R124" s="530"/>
      <c r="S124" s="530"/>
      <c r="T124" s="502"/>
      <c r="U124" s="502"/>
      <c r="V124" s="502"/>
      <c r="W124" s="502"/>
      <c r="X124" s="525"/>
      <c r="Y124" s="549"/>
      <c r="Z124" s="558"/>
      <c r="AA124" s="558"/>
      <c r="AB124" s="559"/>
      <c r="AC124" s="559"/>
      <c r="AD124" s="559"/>
      <c r="AE124" s="559"/>
      <c r="AF124" s="559"/>
      <c r="AG124" s="534"/>
      <c r="AH124" s="560"/>
      <c r="AI124" s="561"/>
      <c r="AJ124" s="244"/>
      <c r="AK124" s="561"/>
      <c r="AL124" s="562"/>
      <c r="AM124" s="482"/>
      <c r="AP124" s="123"/>
      <c r="AQ124" s="123"/>
      <c r="AR124" s="124"/>
      <c r="AU124" s="125"/>
    </row>
    <row r="125" spans="1:47" s="483" customFormat="1" ht="42.75" customHeight="1" x14ac:dyDescent="0.4">
      <c r="A125" s="10"/>
      <c r="B125" s="10"/>
      <c r="C125" s="10"/>
      <c r="D125" s="10"/>
      <c r="E125" s="10"/>
      <c r="F125" s="10"/>
      <c r="G125" s="10"/>
      <c r="H125" s="10"/>
      <c r="I125" s="10"/>
      <c r="J125" s="10"/>
      <c r="K125" s="10"/>
      <c r="L125" s="10"/>
      <c r="M125" s="10"/>
      <c r="N125" s="437"/>
      <c r="O125" s="437"/>
      <c r="P125" s="437"/>
      <c r="Q125" s="563"/>
      <c r="R125" s="563"/>
      <c r="S125" s="563"/>
      <c r="T125" s="437"/>
      <c r="U125" s="437"/>
      <c r="V125" s="437"/>
      <c r="W125" s="437"/>
      <c r="X125" s="564"/>
      <c r="Y125" s="565"/>
      <c r="Z125" s="558"/>
      <c r="AA125" s="558"/>
      <c r="AB125" s="558"/>
      <c r="AC125" s="558"/>
      <c r="AD125" s="558"/>
      <c r="AE125" s="853"/>
      <c r="AF125" s="854"/>
      <c r="AG125" s="566"/>
      <c r="AH125" s="560"/>
      <c r="AI125" s="561"/>
      <c r="AJ125" s="244"/>
      <c r="AK125" s="561"/>
      <c r="AL125" s="562"/>
      <c r="AM125" s="482"/>
      <c r="AP125" s="123"/>
      <c r="AQ125" s="123"/>
      <c r="AR125" s="124"/>
      <c r="AU125" s="125"/>
    </row>
    <row r="126" spans="1:47" x14ac:dyDescent="0.35">
      <c r="O126" s="567">
        <f>SUM(P124-O124)</f>
        <v>0</v>
      </c>
      <c r="Y126" s="502"/>
      <c r="Z126" s="568"/>
      <c r="AA126" s="568"/>
      <c r="AB126" s="569"/>
      <c r="AC126" s="569"/>
      <c r="AD126" s="569"/>
      <c r="AE126" s="569"/>
      <c r="AF126" s="569"/>
      <c r="AG126" s="534"/>
      <c r="AH126" s="560"/>
      <c r="AI126" s="561"/>
      <c r="AJ126" s="244"/>
      <c r="AK126" s="561"/>
      <c r="AL126" s="562"/>
    </row>
    <row r="127" spans="1:47" x14ac:dyDescent="0.35">
      <c r="AB127" s="570"/>
      <c r="AC127" s="570"/>
      <c r="AD127" s="570"/>
      <c r="AE127" s="570"/>
      <c r="AF127" s="570"/>
      <c r="AJ127" s="571"/>
    </row>
    <row r="128" spans="1:47" x14ac:dyDescent="0.35">
      <c r="AD128" s="118"/>
      <c r="AF128" s="118"/>
    </row>
    <row r="129" spans="28:31" x14ac:dyDescent="0.35">
      <c r="AB129" s="118"/>
    </row>
    <row r="130" spans="28:31" x14ac:dyDescent="0.35">
      <c r="AD130" s="118"/>
    </row>
    <row r="131" spans="28:31" x14ac:dyDescent="0.35">
      <c r="AE131" s="118"/>
    </row>
  </sheetData>
  <mergeCells count="37">
    <mergeCell ref="B46:J46"/>
    <mergeCell ref="A1:AA1"/>
    <mergeCell ref="A2:AA2"/>
    <mergeCell ref="B3:I3"/>
    <mergeCell ref="K4:K5"/>
    <mergeCell ref="L4:L5"/>
    <mergeCell ref="M4:M5"/>
    <mergeCell ref="AA4:AE4"/>
    <mergeCell ref="AL4:AL5"/>
    <mergeCell ref="AP5:AQ5"/>
    <mergeCell ref="B17:J17"/>
    <mergeCell ref="B26:J26"/>
    <mergeCell ref="B37:J37"/>
    <mergeCell ref="B52:J52"/>
    <mergeCell ref="B58:J58"/>
    <mergeCell ref="B64:J64"/>
    <mergeCell ref="B71:J71"/>
    <mergeCell ref="B75:J75"/>
    <mergeCell ref="L76:L77"/>
    <mergeCell ref="K78:K79"/>
    <mergeCell ref="L78:L79"/>
    <mergeCell ref="B81:J81"/>
    <mergeCell ref="B86:J86"/>
    <mergeCell ref="K76:K77"/>
    <mergeCell ref="AL122:AL123"/>
    <mergeCell ref="AE123:AF123"/>
    <mergeCell ref="AE125:AF125"/>
    <mergeCell ref="M93:M95"/>
    <mergeCell ref="B97:J97"/>
    <mergeCell ref="B100:J100"/>
    <mergeCell ref="W112:AG112"/>
    <mergeCell ref="W113:Y113"/>
    <mergeCell ref="W114:Y114"/>
    <mergeCell ref="B93:I95"/>
    <mergeCell ref="W115:Y115"/>
    <mergeCell ref="W116:Y116"/>
    <mergeCell ref="Z117:AF117"/>
  </mergeCells>
  <pageMargins left="1.299212598425197" right="0" top="0.39370078740157483" bottom="0" header="0.78740157480314965" footer="0.78740157480314965"/>
  <pageSetup paperSize="5" scale="20" orientation="landscape" horizontalDpi="300" verticalDpi="300" r:id="rId1"/>
  <headerFooter alignWithMargins="0"/>
  <rowBreaks count="1" manualBreakCount="1">
    <brk id="120" max="16383" man="1"/>
  </rowBreaks>
  <colBreaks count="1" manualBreakCount="1">
    <brk id="38" max="12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44"/>
  <sheetViews>
    <sheetView tabSelected="1" topLeftCell="A16" zoomScale="24" zoomScaleNormal="24" zoomScaleSheetLayoutView="23" workbookViewId="0">
      <pane xSplit="1" ySplit="4" topLeftCell="B322" activePane="bottomRight" state="frozen"/>
      <selection activeCell="A16" sqref="A16"/>
      <selection pane="topRight" activeCell="B16" sqref="B16"/>
      <selection pane="bottomLeft" activeCell="A20" sqref="A20"/>
      <selection pane="bottomRight" activeCell="U339" sqref="U339"/>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26.28515625" customWidth="1"/>
    <col min="7" max="7" width="32.42578125" customWidth="1"/>
    <col min="8" max="8" width="27" customWidth="1"/>
    <col min="9" max="9" width="39.85546875" customWidth="1"/>
    <col min="10" max="10" width="45.7109375" customWidth="1"/>
    <col min="11" max="11" width="72.5703125" customWidth="1"/>
    <col min="12" max="12" width="62.5703125" customWidth="1"/>
    <col min="13" max="13" width="64.28515625" customWidth="1"/>
    <col min="14" max="14" width="17.42578125" customWidth="1"/>
    <col min="15" max="15" width="27" customWidth="1"/>
    <col min="16" max="16" width="53.5703125" customWidth="1"/>
    <col min="17" max="17" width="5.7109375" customWidth="1"/>
    <col min="18" max="18" width="20" customWidth="1"/>
    <col min="19" max="19" width="45.28515625" customWidth="1"/>
    <col min="20" max="20" width="38.7109375" customWidth="1"/>
    <col min="21" max="21" width="66.140625" customWidth="1"/>
    <col min="22" max="22" width="37.28515625" customWidth="1"/>
    <col min="23" max="23" width="66.5703125" customWidth="1"/>
    <col min="24" max="24" width="54.7109375" customWidth="1"/>
    <col min="25" max="25" width="58.140625" customWidth="1"/>
    <col min="26" max="26" width="71.85546875" customWidth="1"/>
    <col min="27" max="27" width="94.85546875" customWidth="1"/>
    <col min="28" max="28" width="45.7109375" customWidth="1"/>
    <col min="29" max="29" width="43.42578125" customWidth="1"/>
    <col min="30" max="30" width="24.5703125" customWidth="1"/>
    <col min="31" max="31" width="25.42578125" customWidth="1"/>
    <col min="32" max="32" width="36.5703125" customWidth="1"/>
    <col min="33" max="33" width="44" customWidth="1"/>
  </cols>
  <sheetData>
    <row r="1" spans="1:33" ht="26.1" x14ac:dyDescent="0.6">
      <c r="A1" s="91"/>
      <c r="B1" s="709"/>
      <c r="C1" s="2"/>
      <c r="D1" s="17"/>
      <c r="E1" s="2"/>
      <c r="F1" s="2"/>
      <c r="G1" s="2"/>
      <c r="H1" s="2"/>
      <c r="I1" s="2"/>
      <c r="J1" s="76"/>
      <c r="K1" s="2"/>
      <c r="L1" s="72"/>
      <c r="M1" s="8"/>
      <c r="N1" s="2"/>
      <c r="O1" s="2"/>
      <c r="P1" s="2"/>
      <c r="Q1" s="100"/>
      <c r="R1" s="3"/>
      <c r="S1" s="90"/>
      <c r="T1" s="4"/>
      <c r="U1" s="3"/>
      <c r="V1" s="3"/>
      <c r="W1" s="3"/>
      <c r="X1" s="54"/>
      <c r="Y1" s="3"/>
      <c r="Z1" s="51"/>
      <c r="AA1" s="3"/>
      <c r="AB1" s="3"/>
      <c r="AC1" s="3"/>
      <c r="AD1" s="3"/>
      <c r="AE1" s="3"/>
      <c r="AF1" s="3"/>
      <c r="AG1" s="18"/>
    </row>
    <row r="2" spans="1:33" ht="45.95" x14ac:dyDescent="0.6">
      <c r="A2" s="92"/>
      <c r="B2" s="911" t="s">
        <v>623</v>
      </c>
      <c r="C2" s="911"/>
      <c r="D2" s="911"/>
      <c r="E2" s="911"/>
      <c r="F2" s="911"/>
      <c r="G2" s="911"/>
      <c r="H2" s="911"/>
      <c r="I2" s="911"/>
      <c r="J2" s="911"/>
      <c r="K2" s="911"/>
      <c r="L2" s="911"/>
      <c r="M2" s="911"/>
      <c r="N2" s="911"/>
      <c r="O2" s="911"/>
      <c r="P2" s="911"/>
      <c r="Q2" s="101"/>
      <c r="R2" s="3"/>
      <c r="S2" s="90"/>
      <c r="T2" s="4"/>
      <c r="U2" s="3"/>
      <c r="V2" s="3"/>
      <c r="W2" s="3"/>
      <c r="X2" s="54"/>
      <c r="Y2" s="3"/>
      <c r="Z2" s="51"/>
      <c r="AA2" s="3"/>
      <c r="AB2" s="3"/>
      <c r="AC2" s="3"/>
      <c r="AD2" s="3"/>
      <c r="AE2" s="3"/>
      <c r="AF2" s="3"/>
      <c r="AG2" s="18"/>
    </row>
    <row r="3" spans="1:33" ht="26.1" x14ac:dyDescent="0.6">
      <c r="A3" s="91"/>
      <c r="B3" s="709"/>
      <c r="C3" s="40"/>
      <c r="D3" s="19"/>
      <c r="E3" s="2"/>
      <c r="F3" s="2"/>
      <c r="G3" s="2"/>
      <c r="H3" s="2"/>
      <c r="I3" s="2"/>
      <c r="J3" s="76"/>
      <c r="K3" s="2"/>
      <c r="L3" s="72"/>
      <c r="M3" s="8"/>
      <c r="N3" s="2"/>
      <c r="O3" s="2"/>
      <c r="P3" s="2"/>
      <c r="Q3" s="100"/>
      <c r="R3" s="3"/>
      <c r="S3" s="90"/>
      <c r="T3" s="4"/>
      <c r="U3" s="3"/>
      <c r="V3" s="3"/>
      <c r="W3" s="3"/>
      <c r="X3" s="54"/>
      <c r="Y3" s="3"/>
      <c r="Z3" s="51"/>
      <c r="AA3" s="3"/>
      <c r="AB3" s="3"/>
      <c r="AC3" s="3"/>
      <c r="AD3" s="3"/>
      <c r="AE3" s="3"/>
      <c r="AF3" s="3"/>
      <c r="AG3" s="18"/>
    </row>
    <row r="4" spans="1:33" ht="26.25" x14ac:dyDescent="0.4">
      <c r="A4" s="91"/>
      <c r="B4" s="709"/>
      <c r="C4" s="830" t="s">
        <v>0</v>
      </c>
      <c r="D4" s="830"/>
      <c r="E4" s="2"/>
      <c r="F4" s="2"/>
      <c r="G4" s="2"/>
      <c r="H4" s="2"/>
      <c r="I4" s="2"/>
      <c r="J4" s="76"/>
      <c r="K4" s="2"/>
      <c r="L4" s="72"/>
      <c r="M4" s="8"/>
      <c r="N4" s="2"/>
      <c r="O4" s="2"/>
      <c r="P4" s="2"/>
      <c r="Q4" s="100"/>
      <c r="R4" s="3"/>
      <c r="S4" s="90"/>
      <c r="T4" s="4"/>
      <c r="U4" s="3"/>
      <c r="V4" s="3"/>
      <c r="W4" s="3"/>
      <c r="X4" s="54"/>
      <c r="Y4" s="3"/>
      <c r="Z4" s="51"/>
      <c r="AA4" s="3"/>
      <c r="AB4" s="3"/>
      <c r="AC4" s="3"/>
      <c r="AD4" s="3"/>
      <c r="AE4" s="3"/>
      <c r="AF4" s="3"/>
      <c r="AG4" s="18"/>
    </row>
    <row r="5" spans="1:33" ht="26.25" x14ac:dyDescent="0.4">
      <c r="A5" s="93"/>
      <c r="B5" s="705"/>
      <c r="C5" s="708" t="s">
        <v>1</v>
      </c>
      <c r="D5" s="831" t="s">
        <v>2</v>
      </c>
      <c r="E5" s="831"/>
      <c r="F5" s="2"/>
      <c r="G5" s="5"/>
      <c r="H5" s="5"/>
      <c r="I5" s="832" t="s">
        <v>276</v>
      </c>
      <c r="J5" s="832"/>
      <c r="K5" s="832"/>
      <c r="L5" s="832"/>
      <c r="M5" s="832"/>
      <c r="N5" s="5"/>
      <c r="O5" s="5"/>
      <c r="P5" s="5"/>
      <c r="Q5" s="102"/>
      <c r="R5" s="3"/>
      <c r="S5" s="90"/>
      <c r="T5" s="4"/>
      <c r="U5" s="3"/>
      <c r="V5" s="3"/>
      <c r="W5" s="3"/>
      <c r="X5" s="54"/>
      <c r="Y5" s="3"/>
      <c r="Z5" s="51"/>
      <c r="AA5" s="3"/>
      <c r="AB5" s="3"/>
      <c r="AC5" s="3"/>
      <c r="AD5" s="3"/>
      <c r="AE5" s="3"/>
      <c r="AF5" s="3"/>
      <c r="AG5" s="18"/>
    </row>
    <row r="6" spans="1:33" ht="26.25" x14ac:dyDescent="0.4">
      <c r="A6" s="93"/>
      <c r="B6" s="705"/>
      <c r="C6" s="707" t="s">
        <v>3</v>
      </c>
      <c r="D6" s="831" t="s">
        <v>4</v>
      </c>
      <c r="E6" s="831"/>
      <c r="F6" s="2"/>
      <c r="G6" s="5"/>
      <c r="H6" s="5"/>
      <c r="I6" s="832"/>
      <c r="J6" s="832"/>
      <c r="K6" s="832"/>
      <c r="L6" s="832"/>
      <c r="M6" s="832"/>
      <c r="N6" s="5"/>
      <c r="O6" s="5"/>
      <c r="P6" s="5"/>
      <c r="Q6" s="102"/>
      <c r="R6" s="3"/>
      <c r="S6" s="90"/>
      <c r="T6" s="4"/>
      <c r="U6" s="3"/>
      <c r="V6" s="3"/>
      <c r="W6" s="3"/>
      <c r="X6" s="54"/>
      <c r="Y6" s="3"/>
      <c r="Z6" s="51"/>
      <c r="AA6" s="3"/>
      <c r="AB6" s="3"/>
      <c r="AC6" s="3"/>
      <c r="AD6" s="3"/>
      <c r="AE6" s="3"/>
      <c r="AF6" s="3"/>
      <c r="AG6" s="18"/>
    </row>
    <row r="7" spans="1:33" ht="26.25" x14ac:dyDescent="0.4">
      <c r="A7" s="93"/>
      <c r="B7" s="705"/>
      <c r="C7" s="707" t="s">
        <v>5</v>
      </c>
      <c r="D7" s="833">
        <v>7395656</v>
      </c>
      <c r="E7" s="833"/>
      <c r="F7" s="11"/>
      <c r="G7" s="5"/>
      <c r="H7" s="5"/>
      <c r="I7" s="832"/>
      <c r="J7" s="832"/>
      <c r="K7" s="832"/>
      <c r="L7" s="832"/>
      <c r="M7" s="832"/>
      <c r="N7" s="5"/>
      <c r="O7" s="5"/>
      <c r="P7" s="5"/>
      <c r="Q7" s="102"/>
      <c r="R7" s="3"/>
      <c r="S7" s="90"/>
      <c r="T7" s="4" t="s">
        <v>148</v>
      </c>
      <c r="U7" s="3"/>
      <c r="V7" s="3"/>
      <c r="W7" s="3"/>
      <c r="X7" s="54"/>
      <c r="Y7" s="3"/>
      <c r="Z7" s="51"/>
      <c r="AA7" s="3"/>
      <c r="AB7" s="3"/>
      <c r="AC7" s="3"/>
      <c r="AD7" s="3"/>
      <c r="AE7" s="3"/>
      <c r="AF7" s="3"/>
      <c r="AG7" s="18"/>
    </row>
    <row r="8" spans="1:33" ht="39" customHeight="1" x14ac:dyDescent="0.4">
      <c r="A8" s="93"/>
      <c r="B8" s="705"/>
      <c r="C8" s="707" t="s">
        <v>6</v>
      </c>
      <c r="D8" s="834" t="s">
        <v>47</v>
      </c>
      <c r="E8" s="834"/>
      <c r="F8" s="12"/>
      <c r="G8" s="5"/>
      <c r="H8" s="5"/>
      <c r="I8" s="832"/>
      <c r="J8" s="832"/>
      <c r="K8" s="832"/>
      <c r="L8" s="832"/>
      <c r="M8" s="832"/>
      <c r="N8" s="5"/>
      <c r="O8" s="5"/>
      <c r="P8" s="5"/>
      <c r="Q8" s="102"/>
      <c r="R8" s="3"/>
      <c r="S8" s="90"/>
      <c r="T8" s="4"/>
      <c r="U8" s="3"/>
      <c r="V8" s="3"/>
      <c r="W8" s="3"/>
      <c r="X8" s="54"/>
      <c r="Y8" s="3"/>
      <c r="Z8" s="51"/>
      <c r="AA8" s="3"/>
      <c r="AB8" s="3"/>
      <c r="AC8" s="3"/>
      <c r="AD8" s="3"/>
      <c r="AE8" s="3"/>
      <c r="AF8" s="3"/>
      <c r="AG8" s="18"/>
    </row>
    <row r="9" spans="1:33" ht="138.75" customHeight="1" x14ac:dyDescent="0.25">
      <c r="A9" s="93"/>
      <c r="B9" s="705"/>
      <c r="C9" s="707" t="s">
        <v>7</v>
      </c>
      <c r="D9" s="831" t="s">
        <v>599</v>
      </c>
      <c r="E9" s="831"/>
      <c r="F9" s="2"/>
      <c r="G9" s="5"/>
      <c r="H9" s="5"/>
      <c r="I9" s="832"/>
      <c r="J9" s="832"/>
      <c r="K9" s="832"/>
      <c r="L9" s="832"/>
      <c r="M9" s="832"/>
      <c r="N9" s="5"/>
      <c r="O9" s="5"/>
      <c r="P9" s="5"/>
      <c r="Q9" s="102"/>
      <c r="R9" s="644" t="s">
        <v>634</v>
      </c>
      <c r="S9" s="645" t="s">
        <v>630</v>
      </c>
      <c r="T9" s="644" t="s">
        <v>631</v>
      </c>
      <c r="U9" s="644" t="s">
        <v>632</v>
      </c>
      <c r="V9" s="3"/>
      <c r="W9" s="3"/>
      <c r="X9" s="54"/>
      <c r="Y9" s="3"/>
      <c r="Z9" s="51"/>
      <c r="AA9" s="3"/>
      <c r="AB9" s="3"/>
      <c r="AC9" s="3"/>
      <c r="AD9" s="3"/>
      <c r="AE9" s="3"/>
      <c r="AF9" s="3"/>
      <c r="AG9" s="18"/>
    </row>
    <row r="10" spans="1:33" ht="84.6" customHeight="1" x14ac:dyDescent="0.45">
      <c r="A10" s="93"/>
      <c r="B10" s="705"/>
      <c r="C10" s="707" t="s">
        <v>8</v>
      </c>
      <c r="D10" s="811" t="s">
        <v>600</v>
      </c>
      <c r="E10" s="811"/>
      <c r="F10" s="1"/>
      <c r="G10" s="5"/>
      <c r="H10" s="5"/>
      <c r="I10" s="6"/>
      <c r="J10" s="6"/>
      <c r="K10" s="6"/>
      <c r="L10" s="73"/>
      <c r="M10" s="9"/>
      <c r="N10" s="5"/>
      <c r="O10" s="5"/>
      <c r="P10" s="5"/>
      <c r="Q10" s="102"/>
      <c r="R10" s="647" t="s">
        <v>629</v>
      </c>
      <c r="S10" s="646" t="e">
        <f>SUM(#REF!)</f>
        <v>#REF!</v>
      </c>
      <c r="T10" s="650" t="e">
        <f>SUM(#REF!)</f>
        <v>#REF!</v>
      </c>
      <c r="U10" s="650" t="e">
        <f>SUM(#REF!)</f>
        <v>#REF!</v>
      </c>
      <c r="V10" s="3"/>
      <c r="W10" s="3"/>
      <c r="X10" s="54"/>
      <c r="Y10" s="3"/>
      <c r="Z10" s="51"/>
      <c r="AA10" s="3"/>
      <c r="AB10" s="3"/>
      <c r="AC10" s="3"/>
      <c r="AD10" s="3"/>
      <c r="AE10" s="3"/>
      <c r="AF10" s="3"/>
      <c r="AG10" s="18"/>
    </row>
    <row r="11" spans="1:33" ht="48" customHeight="1" x14ac:dyDescent="0.45">
      <c r="A11" s="93"/>
      <c r="B11" s="705"/>
      <c r="C11" s="707" t="s">
        <v>10</v>
      </c>
      <c r="D11" s="812" t="s">
        <v>1495</v>
      </c>
      <c r="E11" s="813"/>
      <c r="F11" s="2"/>
      <c r="G11" s="5"/>
      <c r="H11" s="5"/>
      <c r="I11" s="814" t="s">
        <v>11</v>
      </c>
      <c r="J11" s="815"/>
      <c r="K11" s="815"/>
      <c r="L11" s="815"/>
      <c r="M11" s="816"/>
      <c r="N11" s="5"/>
      <c r="O11" s="5"/>
      <c r="P11" s="5"/>
      <c r="Q11" s="102"/>
      <c r="R11" s="647" t="s">
        <v>628</v>
      </c>
      <c r="S11" s="646" t="e">
        <f>SUM(#REF!)</f>
        <v>#REF!</v>
      </c>
      <c r="T11" s="650" t="e">
        <f>SUM(#REF!)</f>
        <v>#REF!</v>
      </c>
      <c r="U11" s="650" t="e">
        <f>SUM(#REF!)</f>
        <v>#REF!</v>
      </c>
      <c r="V11" s="3"/>
      <c r="W11" s="3"/>
      <c r="X11" s="54"/>
      <c r="Y11" s="3"/>
      <c r="Z11" s="51"/>
      <c r="AA11" s="3"/>
      <c r="AB11" s="3"/>
      <c r="AC11" s="3"/>
      <c r="AD11" s="3"/>
      <c r="AE11" s="3"/>
      <c r="AF11" s="3"/>
      <c r="AG11" s="18"/>
    </row>
    <row r="12" spans="1:33" ht="50.45" customHeight="1" x14ac:dyDescent="0.45">
      <c r="A12" s="93"/>
      <c r="B12" s="705"/>
      <c r="C12" s="707" t="s">
        <v>12</v>
      </c>
      <c r="D12" s="914" t="s">
        <v>612</v>
      </c>
      <c r="E12" s="915"/>
      <c r="F12" s="13"/>
      <c r="G12" s="5"/>
      <c r="H12" s="5"/>
      <c r="I12" s="817"/>
      <c r="J12" s="818"/>
      <c r="K12" s="818"/>
      <c r="L12" s="818"/>
      <c r="M12" s="819"/>
      <c r="N12" s="5"/>
      <c r="O12" s="5"/>
      <c r="P12" s="5"/>
      <c r="Q12" s="102"/>
      <c r="R12" s="648" t="s">
        <v>618</v>
      </c>
      <c r="S12" s="649" t="e">
        <f>SUM(S10:S11)</f>
        <v>#REF!</v>
      </c>
      <c r="T12" s="649" t="e">
        <f>SUM(T10:T11)</f>
        <v>#REF!</v>
      </c>
      <c r="U12" s="649" t="e">
        <f>SUM(U10:U11)</f>
        <v>#REF!</v>
      </c>
      <c r="V12" s="3"/>
      <c r="W12" s="3"/>
      <c r="X12" s="54"/>
      <c r="Y12" s="3"/>
      <c r="Z12" s="51"/>
      <c r="AA12" s="3"/>
      <c r="AB12" s="3"/>
      <c r="AC12" s="3"/>
      <c r="AD12" s="3"/>
      <c r="AE12" s="3"/>
      <c r="AF12" s="3"/>
      <c r="AG12" s="18"/>
    </row>
    <row r="13" spans="1:33" ht="37.5" x14ac:dyDescent="0.4">
      <c r="A13" s="93"/>
      <c r="B13" s="705"/>
      <c r="C13" s="707" t="s">
        <v>13</v>
      </c>
      <c r="D13" s="825" t="s">
        <v>592</v>
      </c>
      <c r="E13" s="825"/>
      <c r="F13" s="88"/>
      <c r="G13" s="5"/>
      <c r="H13" s="5"/>
      <c r="I13" s="817"/>
      <c r="J13" s="818"/>
      <c r="K13" s="818"/>
      <c r="L13" s="818"/>
      <c r="M13" s="819"/>
      <c r="N13" s="5"/>
      <c r="O13" s="5"/>
      <c r="P13" s="76"/>
      <c r="Q13" s="102"/>
      <c r="R13" s="643"/>
      <c r="S13" s="642"/>
      <c r="T13" s="642" t="s">
        <v>633</v>
      </c>
      <c r="U13" s="762" t="e">
        <f>SUM(S10-T10)</f>
        <v>#REF!</v>
      </c>
      <c r="V13" s="3"/>
      <c r="W13" s="3"/>
      <c r="X13" s="54"/>
      <c r="Y13" s="3"/>
      <c r="Z13" s="51"/>
      <c r="AA13" s="3"/>
      <c r="AB13" s="3"/>
      <c r="AC13" s="3"/>
      <c r="AD13" s="3"/>
      <c r="AE13" s="3"/>
      <c r="AF13" s="3"/>
      <c r="AG13" s="18"/>
    </row>
    <row r="14" spans="1:33" ht="37.5" x14ac:dyDescent="0.4">
      <c r="A14" s="93"/>
      <c r="B14" s="705"/>
      <c r="C14" s="707" t="s">
        <v>14</v>
      </c>
      <c r="D14" s="826" t="s">
        <v>593</v>
      </c>
      <c r="E14" s="826"/>
      <c r="F14" s="88"/>
      <c r="G14" s="5"/>
      <c r="H14" s="5"/>
      <c r="I14" s="817"/>
      <c r="J14" s="818"/>
      <c r="K14" s="818"/>
      <c r="L14" s="818"/>
      <c r="M14" s="819"/>
      <c r="N14" s="5"/>
      <c r="O14" s="5"/>
      <c r="P14" s="5"/>
      <c r="Q14" s="102"/>
      <c r="R14" s="643"/>
      <c r="S14" s="642"/>
      <c r="T14" s="642" t="s">
        <v>633</v>
      </c>
      <c r="U14" s="762" t="e">
        <f>SUM(S11-T11)</f>
        <v>#REF!</v>
      </c>
      <c r="V14" s="3"/>
      <c r="W14" s="725"/>
      <c r="X14" s="54"/>
      <c r="Y14" s="3"/>
      <c r="Z14" s="51"/>
      <c r="AA14" s="3"/>
      <c r="AB14" s="3"/>
      <c r="AC14" s="3"/>
      <c r="AD14" s="3"/>
      <c r="AE14" s="3"/>
      <c r="AF14" s="3"/>
      <c r="AG14" s="18"/>
    </row>
    <row r="15" spans="1:33" ht="38.25" thickBot="1" x14ac:dyDescent="0.45">
      <c r="A15" s="93"/>
      <c r="B15" s="705"/>
      <c r="C15" s="706" t="s">
        <v>15</v>
      </c>
      <c r="D15" s="827">
        <v>43340</v>
      </c>
      <c r="E15" s="828"/>
      <c r="F15" s="89"/>
      <c r="G15" s="5"/>
      <c r="H15" s="5"/>
      <c r="I15" s="820"/>
      <c r="J15" s="821"/>
      <c r="K15" s="821"/>
      <c r="L15" s="821"/>
      <c r="M15" s="822"/>
      <c r="N15" s="5"/>
      <c r="O15" s="726"/>
      <c r="P15" s="5"/>
      <c r="Q15" s="102"/>
      <c r="R15" s="643"/>
      <c r="S15" s="642"/>
      <c r="T15" s="642" t="s">
        <v>633</v>
      </c>
      <c r="U15" s="762" t="e">
        <f>SUM(S12-T12)</f>
        <v>#REF!</v>
      </c>
      <c r="V15" s="3"/>
      <c r="W15" s="3"/>
      <c r="X15" s="54"/>
      <c r="Y15" s="3"/>
      <c r="Z15" s="51"/>
      <c r="AA15" s="3"/>
      <c r="AB15" s="3"/>
      <c r="AC15" s="3"/>
      <c r="AD15" s="3"/>
      <c r="AE15" s="3"/>
      <c r="AF15" s="3"/>
      <c r="AG15" s="18"/>
    </row>
    <row r="16" spans="1:33" ht="26.1" x14ac:dyDescent="0.6">
      <c r="A16" s="93"/>
      <c r="B16" s="705"/>
      <c r="C16" s="2"/>
      <c r="D16" s="20"/>
      <c r="E16" s="7"/>
      <c r="F16" s="7"/>
      <c r="G16" s="5"/>
      <c r="H16" s="5"/>
      <c r="I16" s="76"/>
      <c r="J16" s="14"/>
      <c r="L16" s="74"/>
      <c r="M16" s="41"/>
      <c r="N16" s="5"/>
      <c r="O16" s="5"/>
      <c r="P16" s="79"/>
      <c r="Q16" s="103"/>
      <c r="R16" s="3"/>
      <c r="S16" s="90"/>
      <c r="T16" s="4"/>
      <c r="U16" s="3"/>
      <c r="V16" s="3"/>
      <c r="W16" s="82"/>
      <c r="X16" s="54"/>
      <c r="Y16" s="3"/>
      <c r="Z16" s="51"/>
      <c r="AA16" s="3"/>
      <c r="AB16" s="3"/>
      <c r="AC16" s="3"/>
      <c r="AD16" s="3"/>
      <c r="AE16" s="3"/>
      <c r="AF16" s="3"/>
      <c r="AG16" s="18"/>
    </row>
    <row r="17" spans="1:33" ht="62.25" thickBot="1" x14ac:dyDescent="0.45">
      <c r="A17" s="93"/>
      <c r="B17" s="705"/>
      <c r="C17" s="807" t="s">
        <v>16</v>
      </c>
      <c r="D17" s="807"/>
      <c r="E17" s="5"/>
      <c r="F17" s="763"/>
      <c r="G17" s="916"/>
      <c r="H17" s="916"/>
      <c r="I17" s="5"/>
      <c r="J17" s="763"/>
      <c r="K17" s="764"/>
      <c r="L17" s="83" t="s">
        <v>100</v>
      </c>
      <c r="M17" s="84" t="s">
        <v>287</v>
      </c>
      <c r="N17" s="5"/>
      <c r="O17" s="5"/>
      <c r="P17" s="16"/>
      <c r="Q17" s="104"/>
      <c r="R17" s="3"/>
      <c r="S17" s="727"/>
      <c r="T17" s="4"/>
      <c r="U17" s="3"/>
      <c r="V17" s="3"/>
      <c r="W17" s="15"/>
      <c r="X17" s="55"/>
      <c r="Y17" s="15"/>
      <c r="Z17" s="86" t="s">
        <v>92</v>
      </c>
      <c r="AA17" s="3"/>
      <c r="AB17" s="3"/>
      <c r="AC17" s="3"/>
      <c r="AD17" s="3"/>
      <c r="AE17" s="3"/>
      <c r="AF17" s="3"/>
      <c r="AG17" s="18"/>
    </row>
    <row r="18" spans="1:33" ht="36" x14ac:dyDescent="0.4">
      <c r="A18" s="93"/>
      <c r="B18" s="705"/>
      <c r="C18" s="40"/>
      <c r="D18" s="21"/>
      <c r="E18" s="5"/>
      <c r="F18" s="765"/>
      <c r="G18" s="917"/>
      <c r="H18" s="917"/>
      <c r="I18" s="5"/>
      <c r="J18" s="765"/>
      <c r="K18" s="766"/>
      <c r="L18" s="596">
        <f>SUBTOTAL(9,L20:L338)</f>
        <v>14899612374.700001</v>
      </c>
      <c r="M18" s="596">
        <f>SUBTOTAL(9,M20:M338)</f>
        <v>11443557064.700001</v>
      </c>
      <c r="N18" s="596"/>
      <c r="O18" s="5"/>
      <c r="P18" s="5"/>
      <c r="Q18" s="102"/>
      <c r="R18" s="3"/>
      <c r="S18" s="90"/>
      <c r="T18" s="4"/>
      <c r="U18" s="3"/>
      <c r="V18" s="3"/>
      <c r="W18" s="596">
        <f>SUBTOTAL(9,W20:W344)</f>
        <v>9076479850.8500004</v>
      </c>
      <c r="X18" s="596">
        <f>SUBTOTAL(9,X20:X344)</f>
        <v>312852183</v>
      </c>
      <c r="Y18" s="596">
        <f>SUBTOTAL(9,Y20:Y344)</f>
        <v>9289824374.8500004</v>
      </c>
      <c r="Z18" s="596">
        <f>SUBTOTAL(9,Z20:Z344)</f>
        <v>9289874374.8500004</v>
      </c>
      <c r="AA18" s="75"/>
      <c r="AB18" s="75"/>
      <c r="AC18" s="3"/>
      <c r="AD18" s="3"/>
      <c r="AE18" s="3"/>
      <c r="AF18" s="3"/>
      <c r="AG18" s="18"/>
    </row>
    <row r="19" spans="1:33" ht="126" customHeight="1" x14ac:dyDescent="0.25">
      <c r="A19" s="579" t="s">
        <v>299</v>
      </c>
      <c r="B19" s="579" t="s">
        <v>300</v>
      </c>
      <c r="C19" s="579" t="s">
        <v>17</v>
      </c>
      <c r="D19" s="723" t="s">
        <v>175</v>
      </c>
      <c r="E19" s="723" t="s">
        <v>160</v>
      </c>
      <c r="F19" s="723" t="s">
        <v>159</v>
      </c>
      <c r="G19" s="723" t="s">
        <v>18</v>
      </c>
      <c r="H19" s="723" t="s">
        <v>138</v>
      </c>
      <c r="I19" s="723" t="s">
        <v>19</v>
      </c>
      <c r="J19" s="723" t="s">
        <v>20</v>
      </c>
      <c r="K19" s="723" t="s">
        <v>189</v>
      </c>
      <c r="L19" s="724" t="s">
        <v>190</v>
      </c>
      <c r="M19" s="598" t="s">
        <v>191</v>
      </c>
      <c r="N19" s="579" t="s">
        <v>192</v>
      </c>
      <c r="O19" s="579" t="s">
        <v>21</v>
      </c>
      <c r="P19" s="579" t="s">
        <v>22</v>
      </c>
      <c r="Q19" s="580"/>
      <c r="R19" s="581" t="s">
        <v>23</v>
      </c>
      <c r="S19" s="581" t="s">
        <v>164</v>
      </c>
      <c r="T19" s="582" t="s">
        <v>24</v>
      </c>
      <c r="U19" s="581" t="s">
        <v>25</v>
      </c>
      <c r="V19" s="581" t="s">
        <v>26</v>
      </c>
      <c r="W19" s="583" t="s">
        <v>271</v>
      </c>
      <c r="X19" s="583" t="s">
        <v>182</v>
      </c>
      <c r="Y19" s="583" t="s">
        <v>163</v>
      </c>
      <c r="Z19" s="584" t="s">
        <v>1250</v>
      </c>
      <c r="AA19" s="581" t="s">
        <v>27</v>
      </c>
      <c r="AB19" s="581" t="s">
        <v>1249</v>
      </c>
      <c r="AC19" s="581" t="s">
        <v>31</v>
      </c>
      <c r="AD19" s="581" t="s">
        <v>32</v>
      </c>
      <c r="AE19" s="581" t="s">
        <v>33</v>
      </c>
      <c r="AF19" s="581" t="s">
        <v>86</v>
      </c>
      <c r="AG19" s="585" t="s">
        <v>34</v>
      </c>
    </row>
    <row r="20" spans="1:33" ht="152.1" customHeight="1" x14ac:dyDescent="0.25">
      <c r="A20" s="658">
        <v>1</v>
      </c>
      <c r="B20" s="759" t="s">
        <v>264</v>
      </c>
      <c r="C20" s="659">
        <v>78181701</v>
      </c>
      <c r="D20" s="660" t="s">
        <v>219</v>
      </c>
      <c r="E20" s="759" t="s">
        <v>48</v>
      </c>
      <c r="F20" s="759">
        <v>1</v>
      </c>
      <c r="G20" s="661" t="s">
        <v>73</v>
      </c>
      <c r="H20" s="662" t="s">
        <v>597</v>
      </c>
      <c r="I20" s="759" t="s">
        <v>50</v>
      </c>
      <c r="J20" s="759" t="s">
        <v>35</v>
      </c>
      <c r="K20" s="759" t="s">
        <v>158</v>
      </c>
      <c r="L20" s="663">
        <v>40000000</v>
      </c>
      <c r="M20" s="664">
        <v>40000000</v>
      </c>
      <c r="N20" s="759" t="s">
        <v>51</v>
      </c>
      <c r="O20" s="759" t="s">
        <v>36</v>
      </c>
      <c r="P20" s="759" t="s">
        <v>320</v>
      </c>
      <c r="Q20" s="80"/>
      <c r="R20" s="665" t="s">
        <v>654</v>
      </c>
      <c r="S20" s="665" t="s">
        <v>655</v>
      </c>
      <c r="T20" s="691">
        <v>43109</v>
      </c>
      <c r="U20" s="665" t="s">
        <v>656</v>
      </c>
      <c r="V20" s="665" t="s">
        <v>657</v>
      </c>
      <c r="W20" s="692">
        <v>40000000</v>
      </c>
      <c r="X20" s="665">
        <v>0</v>
      </c>
      <c r="Y20" s="692">
        <v>40000000</v>
      </c>
      <c r="Z20" s="692">
        <v>40000000</v>
      </c>
      <c r="AA20" s="665" t="s">
        <v>658</v>
      </c>
      <c r="AB20" s="665" t="s">
        <v>1264</v>
      </c>
      <c r="AC20" s="665" t="s">
        <v>659</v>
      </c>
      <c r="AD20" s="691">
        <v>43109</v>
      </c>
      <c r="AE20" s="691">
        <v>43434</v>
      </c>
      <c r="AF20" s="665" t="s">
        <v>660</v>
      </c>
      <c r="AG20" s="665" t="s">
        <v>661</v>
      </c>
    </row>
    <row r="21" spans="1:33" ht="92.1" customHeight="1" x14ac:dyDescent="0.25">
      <c r="A21" s="586">
        <f>1+A20</f>
        <v>2</v>
      </c>
      <c r="B21" s="587" t="s">
        <v>264</v>
      </c>
      <c r="C21" s="755">
        <v>25172504</v>
      </c>
      <c r="D21" s="589" t="s">
        <v>52</v>
      </c>
      <c r="E21" s="587" t="s">
        <v>48</v>
      </c>
      <c r="F21" s="587">
        <v>1</v>
      </c>
      <c r="G21" s="590" t="s">
        <v>77</v>
      </c>
      <c r="H21" s="591" t="s">
        <v>156</v>
      </c>
      <c r="I21" s="587" t="s">
        <v>53</v>
      </c>
      <c r="J21" s="587" t="s">
        <v>35</v>
      </c>
      <c r="K21" s="587" t="s">
        <v>54</v>
      </c>
      <c r="L21" s="592">
        <v>4000000</v>
      </c>
      <c r="M21" s="593">
        <v>4000000</v>
      </c>
      <c r="N21" s="587" t="s">
        <v>51</v>
      </c>
      <c r="O21" s="587" t="s">
        <v>36</v>
      </c>
      <c r="P21" s="587" t="s">
        <v>320</v>
      </c>
      <c r="Q21" s="80"/>
      <c r="R21" s="673" t="s">
        <v>148</v>
      </c>
      <c r="S21" s="673" t="s">
        <v>148</v>
      </c>
      <c r="T21" s="693" t="s">
        <v>148</v>
      </c>
      <c r="U21" s="673" t="s">
        <v>148</v>
      </c>
      <c r="V21" s="673" t="s">
        <v>148</v>
      </c>
      <c r="W21" s="694">
        <v>0</v>
      </c>
      <c r="X21" s="673">
        <v>0</v>
      </c>
      <c r="Y21" s="694">
        <v>0</v>
      </c>
      <c r="Z21" s="694">
        <v>0</v>
      </c>
      <c r="AA21" s="673" t="s">
        <v>148</v>
      </c>
      <c r="AB21" s="673" t="s">
        <v>148</v>
      </c>
      <c r="AC21" s="673" t="s">
        <v>148</v>
      </c>
      <c r="AD21" s="693" t="s">
        <v>148</v>
      </c>
      <c r="AE21" s="693" t="s">
        <v>148</v>
      </c>
      <c r="AF21" s="673" t="s">
        <v>148</v>
      </c>
      <c r="AG21" s="673" t="s">
        <v>148</v>
      </c>
    </row>
    <row r="22" spans="1:33" ht="255" customHeight="1" x14ac:dyDescent="0.25">
      <c r="A22" s="658">
        <f t="shared" ref="A22:A34" si="0">SUM(A21+1)</f>
        <v>3</v>
      </c>
      <c r="B22" s="759" t="s">
        <v>264</v>
      </c>
      <c r="C22" s="659" t="s">
        <v>67</v>
      </c>
      <c r="D22" s="660" t="s">
        <v>40</v>
      </c>
      <c r="E22" s="759" t="s">
        <v>48</v>
      </c>
      <c r="F22" s="759">
        <v>1</v>
      </c>
      <c r="G22" s="661" t="s">
        <v>78</v>
      </c>
      <c r="H22" s="662">
        <v>2</v>
      </c>
      <c r="I22" s="759" t="s">
        <v>173</v>
      </c>
      <c r="J22" s="759" t="s">
        <v>35</v>
      </c>
      <c r="K22" s="759" t="s">
        <v>41</v>
      </c>
      <c r="L22" s="663">
        <v>40000000</v>
      </c>
      <c r="M22" s="664">
        <v>40000000</v>
      </c>
      <c r="N22" s="759" t="s">
        <v>51</v>
      </c>
      <c r="O22" s="759" t="s">
        <v>36</v>
      </c>
      <c r="P22" s="759" t="s">
        <v>320</v>
      </c>
      <c r="Q22" s="80"/>
      <c r="R22" s="665" t="s">
        <v>1480</v>
      </c>
      <c r="S22" s="665" t="s">
        <v>1481</v>
      </c>
      <c r="T22" s="691">
        <v>43227</v>
      </c>
      <c r="U22" s="665" t="s">
        <v>1482</v>
      </c>
      <c r="V22" s="665" t="s">
        <v>665</v>
      </c>
      <c r="W22" s="692">
        <v>23494598.399999999</v>
      </c>
      <c r="X22" s="665">
        <v>0</v>
      </c>
      <c r="Y22" s="692">
        <v>23494598.399999999</v>
      </c>
      <c r="Z22" s="692">
        <v>23494598.399999999</v>
      </c>
      <c r="AA22" s="665" t="s">
        <v>1483</v>
      </c>
      <c r="AB22" s="665">
        <v>21218</v>
      </c>
      <c r="AC22" s="665" t="s">
        <v>1484</v>
      </c>
      <c r="AD22" s="691">
        <v>43227</v>
      </c>
      <c r="AE22" s="691">
        <v>43257</v>
      </c>
      <c r="AF22" s="665" t="s">
        <v>668</v>
      </c>
      <c r="AG22" s="665" t="s">
        <v>661</v>
      </c>
    </row>
    <row r="23" spans="1:33" ht="152.1" customHeight="1" x14ac:dyDescent="0.25">
      <c r="A23" s="890">
        <f>SUM(A22+1)</f>
        <v>4</v>
      </c>
      <c r="B23" s="714" t="s">
        <v>264</v>
      </c>
      <c r="C23" s="714">
        <v>44103103</v>
      </c>
      <c r="D23" s="714" t="s">
        <v>201</v>
      </c>
      <c r="E23" s="714" t="s">
        <v>48</v>
      </c>
      <c r="F23" s="714">
        <v>1</v>
      </c>
      <c r="G23" s="760" t="s">
        <v>78</v>
      </c>
      <c r="H23" s="735" t="s">
        <v>157</v>
      </c>
      <c r="I23" s="714" t="s">
        <v>173</v>
      </c>
      <c r="J23" s="758" t="s">
        <v>35</v>
      </c>
      <c r="K23" s="714" t="s">
        <v>41</v>
      </c>
      <c r="L23" s="736">
        <v>37850000</v>
      </c>
      <c r="M23" s="737">
        <v>37850000</v>
      </c>
      <c r="N23" s="714" t="s">
        <v>51</v>
      </c>
      <c r="O23" s="714" t="s">
        <v>36</v>
      </c>
      <c r="P23" s="714" t="s">
        <v>320</v>
      </c>
      <c r="Q23" s="80"/>
      <c r="R23" s="665" t="s">
        <v>1535</v>
      </c>
      <c r="S23" s="665" t="s">
        <v>1536</v>
      </c>
      <c r="T23" s="691">
        <v>43245</v>
      </c>
      <c r="U23" s="665" t="s">
        <v>1537</v>
      </c>
      <c r="V23" s="665" t="s">
        <v>665</v>
      </c>
      <c r="W23" s="692">
        <v>44210996.380000003</v>
      </c>
      <c r="X23" s="731">
        <v>0</v>
      </c>
      <c r="Y23" s="692">
        <v>44210996.380000003</v>
      </c>
      <c r="Z23" s="692">
        <v>44210996.380000003</v>
      </c>
      <c r="AA23" s="665" t="s">
        <v>1538</v>
      </c>
      <c r="AB23" s="912">
        <v>21418</v>
      </c>
      <c r="AC23" s="665" t="s">
        <v>1539</v>
      </c>
      <c r="AD23" s="691">
        <v>43245</v>
      </c>
      <c r="AE23" s="691">
        <v>43305</v>
      </c>
      <c r="AF23" s="665" t="s">
        <v>668</v>
      </c>
      <c r="AG23" s="665" t="s">
        <v>661</v>
      </c>
    </row>
    <row r="24" spans="1:33" ht="152.1" customHeight="1" x14ac:dyDescent="0.25">
      <c r="A24" s="891"/>
      <c r="B24" s="714" t="s">
        <v>264</v>
      </c>
      <c r="C24" s="714">
        <v>44103103</v>
      </c>
      <c r="D24" s="714" t="s">
        <v>201</v>
      </c>
      <c r="E24" s="714" t="s">
        <v>48</v>
      </c>
      <c r="F24" s="714">
        <v>1</v>
      </c>
      <c r="G24" s="760" t="s">
        <v>78</v>
      </c>
      <c r="H24" s="735" t="s">
        <v>157</v>
      </c>
      <c r="I24" s="714" t="s">
        <v>173</v>
      </c>
      <c r="J24" s="758" t="s">
        <v>35</v>
      </c>
      <c r="K24" s="714" t="s">
        <v>41</v>
      </c>
      <c r="L24" s="736">
        <v>37850000</v>
      </c>
      <c r="M24" s="737">
        <v>37850000</v>
      </c>
      <c r="N24" s="714" t="s">
        <v>51</v>
      </c>
      <c r="O24" s="714" t="s">
        <v>36</v>
      </c>
      <c r="P24" s="714" t="s">
        <v>320</v>
      </c>
      <c r="Q24" s="80"/>
      <c r="R24" s="665" t="s">
        <v>1540</v>
      </c>
      <c r="S24" s="665" t="s">
        <v>1536</v>
      </c>
      <c r="T24" s="691">
        <v>43245</v>
      </c>
      <c r="U24" s="665" t="s">
        <v>1537</v>
      </c>
      <c r="V24" s="665" t="s">
        <v>665</v>
      </c>
      <c r="W24" s="692">
        <v>16357259.24</v>
      </c>
      <c r="X24" s="731">
        <v>0</v>
      </c>
      <c r="Y24" s="692">
        <v>16357259.24</v>
      </c>
      <c r="Z24" s="692">
        <v>16357259.24</v>
      </c>
      <c r="AA24" s="665" t="s">
        <v>1538</v>
      </c>
      <c r="AB24" s="913"/>
      <c r="AC24" s="665" t="s">
        <v>1539</v>
      </c>
      <c r="AD24" s="691">
        <v>43245</v>
      </c>
      <c r="AE24" s="691">
        <v>43305</v>
      </c>
      <c r="AF24" s="665" t="s">
        <v>668</v>
      </c>
      <c r="AG24" s="665" t="s">
        <v>661</v>
      </c>
    </row>
    <row r="25" spans="1:33" ht="152.1" customHeight="1" x14ac:dyDescent="0.25">
      <c r="A25" s="658">
        <f>SUM(A23+1)</f>
        <v>5</v>
      </c>
      <c r="B25" s="759" t="s">
        <v>264</v>
      </c>
      <c r="C25" s="659">
        <v>44103104</v>
      </c>
      <c r="D25" s="660" t="s">
        <v>201</v>
      </c>
      <c r="E25" s="759" t="s">
        <v>48</v>
      </c>
      <c r="F25" s="759">
        <v>1</v>
      </c>
      <c r="G25" s="661" t="s">
        <v>78</v>
      </c>
      <c r="H25" s="662" t="s">
        <v>157</v>
      </c>
      <c r="I25" s="759" t="s">
        <v>53</v>
      </c>
      <c r="J25" s="759" t="s">
        <v>35</v>
      </c>
      <c r="K25" s="759" t="s">
        <v>41</v>
      </c>
      <c r="L25" s="663">
        <v>21800000</v>
      </c>
      <c r="M25" s="663">
        <v>21800000</v>
      </c>
      <c r="N25" s="759" t="s">
        <v>51</v>
      </c>
      <c r="O25" s="759" t="s">
        <v>36</v>
      </c>
      <c r="P25" s="759" t="s">
        <v>320</v>
      </c>
      <c r="Q25" s="80"/>
      <c r="R25" s="665" t="s">
        <v>1479</v>
      </c>
      <c r="S25" s="665" t="s">
        <v>1466</v>
      </c>
      <c r="T25" s="691">
        <v>43208</v>
      </c>
      <c r="U25" s="665" t="s">
        <v>1478</v>
      </c>
      <c r="V25" s="665" t="s">
        <v>665</v>
      </c>
      <c r="W25" s="692">
        <v>21786639</v>
      </c>
      <c r="X25" s="665">
        <v>0</v>
      </c>
      <c r="Y25" s="692">
        <v>21786639</v>
      </c>
      <c r="Z25" s="692">
        <v>21786639</v>
      </c>
      <c r="AA25" s="665" t="s">
        <v>1477</v>
      </c>
      <c r="AB25" s="665">
        <v>21318</v>
      </c>
      <c r="AC25" s="665" t="s">
        <v>1472</v>
      </c>
      <c r="AD25" s="691">
        <v>43208</v>
      </c>
      <c r="AE25" s="691">
        <v>43237</v>
      </c>
      <c r="AF25" s="665" t="s">
        <v>668</v>
      </c>
      <c r="AG25" s="665" t="s">
        <v>661</v>
      </c>
    </row>
    <row r="26" spans="1:33" ht="165" customHeight="1" x14ac:dyDescent="0.25">
      <c r="A26" s="586">
        <f t="shared" si="0"/>
        <v>6</v>
      </c>
      <c r="B26" s="651" t="s">
        <v>264</v>
      </c>
      <c r="C26" s="652">
        <v>72101506</v>
      </c>
      <c r="D26" s="653" t="s">
        <v>304</v>
      </c>
      <c r="E26" s="651" t="s">
        <v>48</v>
      </c>
      <c r="F26" s="651">
        <v>1</v>
      </c>
      <c r="G26" s="654" t="s">
        <v>75</v>
      </c>
      <c r="H26" s="655" t="s">
        <v>284</v>
      </c>
      <c r="I26" s="651" t="s">
        <v>55</v>
      </c>
      <c r="J26" s="651" t="s">
        <v>35</v>
      </c>
      <c r="K26" s="651" t="s">
        <v>46</v>
      </c>
      <c r="L26" s="656"/>
      <c r="M26" s="657"/>
      <c r="N26" s="651" t="s">
        <v>51</v>
      </c>
      <c r="O26" s="651" t="s">
        <v>36</v>
      </c>
      <c r="P26" s="651" t="s">
        <v>320</v>
      </c>
      <c r="Q26" s="80"/>
      <c r="R26" s="673" t="s">
        <v>148</v>
      </c>
      <c r="S26" s="673" t="s">
        <v>148</v>
      </c>
      <c r="T26" s="693" t="s">
        <v>148</v>
      </c>
      <c r="U26" s="673" t="s">
        <v>148</v>
      </c>
      <c r="V26" s="673" t="s">
        <v>148</v>
      </c>
      <c r="W26" s="694">
        <v>0</v>
      </c>
      <c r="X26" s="673">
        <v>0</v>
      </c>
      <c r="Y26" s="694">
        <v>0</v>
      </c>
      <c r="Z26" s="694">
        <v>0</v>
      </c>
      <c r="AA26" s="673" t="s">
        <v>148</v>
      </c>
      <c r="AB26" s="673" t="s">
        <v>148</v>
      </c>
      <c r="AC26" s="673" t="s">
        <v>148</v>
      </c>
      <c r="AD26" s="693" t="s">
        <v>148</v>
      </c>
      <c r="AE26" s="693" t="s">
        <v>148</v>
      </c>
      <c r="AF26" s="673" t="s">
        <v>148</v>
      </c>
      <c r="AG26" s="673" t="s">
        <v>148</v>
      </c>
    </row>
    <row r="27" spans="1:33" ht="92.1" customHeight="1" x14ac:dyDescent="0.25">
      <c r="A27" s="586">
        <f t="shared" si="0"/>
        <v>7</v>
      </c>
      <c r="B27" s="651" t="s">
        <v>264</v>
      </c>
      <c r="C27" s="652" t="s">
        <v>466</v>
      </c>
      <c r="D27" s="653" t="s">
        <v>467</v>
      </c>
      <c r="E27" s="651" t="s">
        <v>48</v>
      </c>
      <c r="F27" s="651">
        <v>1</v>
      </c>
      <c r="G27" s="654" t="s">
        <v>80</v>
      </c>
      <c r="H27" s="655">
        <v>8</v>
      </c>
      <c r="I27" s="651" t="s">
        <v>55</v>
      </c>
      <c r="J27" s="651" t="s">
        <v>35</v>
      </c>
      <c r="K27" s="651" t="s">
        <v>46</v>
      </c>
      <c r="L27" s="656"/>
      <c r="M27" s="657"/>
      <c r="N27" s="651" t="s">
        <v>51</v>
      </c>
      <c r="O27" s="651" t="s">
        <v>36</v>
      </c>
      <c r="P27" s="651" t="s">
        <v>320</v>
      </c>
      <c r="Q27" s="80"/>
      <c r="R27" s="673" t="s">
        <v>148</v>
      </c>
      <c r="S27" s="673" t="s">
        <v>148</v>
      </c>
      <c r="T27" s="693" t="s">
        <v>148</v>
      </c>
      <c r="U27" s="673" t="s">
        <v>148</v>
      </c>
      <c r="V27" s="673" t="s">
        <v>148</v>
      </c>
      <c r="W27" s="694">
        <v>0</v>
      </c>
      <c r="X27" s="673">
        <v>0</v>
      </c>
      <c r="Y27" s="694">
        <v>0</v>
      </c>
      <c r="Z27" s="694">
        <v>0</v>
      </c>
      <c r="AA27" s="673" t="s">
        <v>148</v>
      </c>
      <c r="AB27" s="673" t="s">
        <v>148</v>
      </c>
      <c r="AC27" s="673" t="s">
        <v>148</v>
      </c>
      <c r="AD27" s="693" t="s">
        <v>148</v>
      </c>
      <c r="AE27" s="693" t="s">
        <v>148</v>
      </c>
      <c r="AF27" s="673" t="s">
        <v>148</v>
      </c>
      <c r="AG27" s="673" t="s">
        <v>148</v>
      </c>
    </row>
    <row r="28" spans="1:33" ht="136.15" customHeight="1" x14ac:dyDescent="0.25">
      <c r="A28" s="586">
        <f t="shared" si="0"/>
        <v>8</v>
      </c>
      <c r="B28" s="587" t="s">
        <v>476</v>
      </c>
      <c r="C28" s="755">
        <v>72101506</v>
      </c>
      <c r="D28" s="589" t="s">
        <v>215</v>
      </c>
      <c r="E28" s="587" t="s">
        <v>48</v>
      </c>
      <c r="F28" s="587">
        <v>1</v>
      </c>
      <c r="G28" s="590" t="s">
        <v>81</v>
      </c>
      <c r="H28" s="591" t="s">
        <v>157</v>
      </c>
      <c r="I28" s="587" t="s">
        <v>55</v>
      </c>
      <c r="J28" s="587" t="s">
        <v>35</v>
      </c>
      <c r="K28" s="587" t="s">
        <v>46</v>
      </c>
      <c r="L28" s="592">
        <v>1000000</v>
      </c>
      <c r="M28" s="593">
        <v>1000000</v>
      </c>
      <c r="N28" s="587" t="s">
        <v>51</v>
      </c>
      <c r="O28" s="587" t="s">
        <v>36</v>
      </c>
      <c r="P28" s="587" t="s">
        <v>475</v>
      </c>
      <c r="Q28" s="80"/>
      <c r="R28" s="673" t="s">
        <v>148</v>
      </c>
      <c r="S28" s="673" t="s">
        <v>148</v>
      </c>
      <c r="T28" s="693" t="s">
        <v>148</v>
      </c>
      <c r="U28" s="673" t="s">
        <v>148</v>
      </c>
      <c r="V28" s="673" t="s">
        <v>148</v>
      </c>
      <c r="W28" s="694">
        <v>0</v>
      </c>
      <c r="X28" s="673">
        <v>0</v>
      </c>
      <c r="Y28" s="694">
        <v>0</v>
      </c>
      <c r="Z28" s="694">
        <v>0</v>
      </c>
      <c r="AA28" s="673" t="s">
        <v>148</v>
      </c>
      <c r="AB28" s="673" t="s">
        <v>148</v>
      </c>
      <c r="AC28" s="673" t="s">
        <v>148</v>
      </c>
      <c r="AD28" s="693" t="s">
        <v>148</v>
      </c>
      <c r="AE28" s="693" t="s">
        <v>148</v>
      </c>
      <c r="AF28" s="673" t="s">
        <v>148</v>
      </c>
      <c r="AG28" s="673" t="s">
        <v>148</v>
      </c>
    </row>
    <row r="29" spans="1:33" ht="92.1" customHeight="1" x14ac:dyDescent="0.25">
      <c r="A29" s="586">
        <f t="shared" si="0"/>
        <v>9</v>
      </c>
      <c r="B29" s="587" t="s">
        <v>264</v>
      </c>
      <c r="C29" s="755">
        <v>72102900</v>
      </c>
      <c r="D29" s="589" t="s">
        <v>56</v>
      </c>
      <c r="E29" s="587" t="s">
        <v>48</v>
      </c>
      <c r="F29" s="587">
        <v>1</v>
      </c>
      <c r="G29" s="590" t="s">
        <v>77</v>
      </c>
      <c r="H29" s="591" t="s">
        <v>1260</v>
      </c>
      <c r="I29" s="587" t="s">
        <v>50</v>
      </c>
      <c r="J29" s="587" t="s">
        <v>35</v>
      </c>
      <c r="K29" s="587" t="s">
        <v>57</v>
      </c>
      <c r="L29" s="592">
        <v>490000000</v>
      </c>
      <c r="M29" s="593">
        <v>12000000</v>
      </c>
      <c r="N29" s="587" t="s">
        <v>49</v>
      </c>
      <c r="O29" s="587" t="s">
        <v>445</v>
      </c>
      <c r="P29" s="587" t="s">
        <v>320</v>
      </c>
      <c r="Q29" s="80"/>
      <c r="R29" s="673" t="s">
        <v>148</v>
      </c>
      <c r="S29" s="673" t="s">
        <v>148</v>
      </c>
      <c r="T29" s="693" t="s">
        <v>148</v>
      </c>
      <c r="U29" s="673" t="s">
        <v>148</v>
      </c>
      <c r="V29" s="673" t="s">
        <v>148</v>
      </c>
      <c r="W29" s="694">
        <v>0</v>
      </c>
      <c r="X29" s="673">
        <v>0</v>
      </c>
      <c r="Y29" s="694">
        <v>0</v>
      </c>
      <c r="Z29" s="694">
        <v>0</v>
      </c>
      <c r="AA29" s="673" t="s">
        <v>148</v>
      </c>
      <c r="AB29" s="673" t="s">
        <v>148</v>
      </c>
      <c r="AC29" s="673" t="s">
        <v>148</v>
      </c>
      <c r="AD29" s="693" t="s">
        <v>148</v>
      </c>
      <c r="AE29" s="693" t="s">
        <v>148</v>
      </c>
      <c r="AF29" s="673" t="s">
        <v>148</v>
      </c>
      <c r="AG29" s="673" t="s">
        <v>148</v>
      </c>
    </row>
    <row r="30" spans="1:33" ht="152.1" customHeight="1" x14ac:dyDescent="0.25">
      <c r="A30" s="658">
        <f t="shared" si="0"/>
        <v>10</v>
      </c>
      <c r="B30" s="759" t="s">
        <v>264</v>
      </c>
      <c r="C30" s="659">
        <v>84131603</v>
      </c>
      <c r="D30" s="660" t="s">
        <v>62</v>
      </c>
      <c r="E30" s="759" t="s">
        <v>48</v>
      </c>
      <c r="F30" s="759">
        <v>1</v>
      </c>
      <c r="G30" s="661" t="s">
        <v>73</v>
      </c>
      <c r="H30" s="662" t="s">
        <v>156</v>
      </c>
      <c r="I30" s="759" t="s">
        <v>50</v>
      </c>
      <c r="J30" s="759" t="s">
        <v>35</v>
      </c>
      <c r="K30" s="759" t="s">
        <v>39</v>
      </c>
      <c r="L30" s="663">
        <v>6210182</v>
      </c>
      <c r="M30" s="664">
        <v>6210182</v>
      </c>
      <c r="N30" s="759" t="s">
        <v>51</v>
      </c>
      <c r="O30" s="759" t="s">
        <v>36</v>
      </c>
      <c r="P30" s="759" t="s">
        <v>320</v>
      </c>
      <c r="Q30" s="80"/>
      <c r="R30" s="665" t="s">
        <v>1239</v>
      </c>
      <c r="S30" s="665" t="s">
        <v>1240</v>
      </c>
      <c r="T30" s="691">
        <v>43132</v>
      </c>
      <c r="U30" s="665" t="s">
        <v>1241</v>
      </c>
      <c r="V30" s="665" t="s">
        <v>1226</v>
      </c>
      <c r="W30" s="692">
        <v>4130593</v>
      </c>
      <c r="X30" s="665">
        <v>0</v>
      </c>
      <c r="Y30" s="692">
        <v>4130593</v>
      </c>
      <c r="Z30" s="692">
        <v>4130593</v>
      </c>
      <c r="AA30" s="665" t="s">
        <v>1242</v>
      </c>
      <c r="AB30" s="665" t="s">
        <v>1265</v>
      </c>
      <c r="AC30" s="665" t="s">
        <v>1243</v>
      </c>
      <c r="AD30" s="691">
        <v>43132</v>
      </c>
      <c r="AE30" s="691">
        <v>43465</v>
      </c>
      <c r="AF30" s="665" t="s">
        <v>660</v>
      </c>
      <c r="AG30" s="665" t="s">
        <v>661</v>
      </c>
    </row>
    <row r="31" spans="1:33" ht="92.1" customHeight="1" x14ac:dyDescent="0.25">
      <c r="A31" s="586">
        <f t="shared" si="0"/>
        <v>11</v>
      </c>
      <c r="B31" s="587" t="s">
        <v>264</v>
      </c>
      <c r="C31" s="755">
        <v>20102302</v>
      </c>
      <c r="D31" s="589" t="s">
        <v>204</v>
      </c>
      <c r="E31" s="587" t="s">
        <v>48</v>
      </c>
      <c r="F31" s="587">
        <v>1</v>
      </c>
      <c r="G31" s="590" t="s">
        <v>77</v>
      </c>
      <c r="H31" s="591" t="s">
        <v>156</v>
      </c>
      <c r="I31" s="587" t="s">
        <v>55</v>
      </c>
      <c r="J31" s="587" t="s">
        <v>35</v>
      </c>
      <c r="K31" s="587" t="s">
        <v>218</v>
      </c>
      <c r="L31" s="592">
        <v>2400000</v>
      </c>
      <c r="M31" s="593">
        <v>2400000</v>
      </c>
      <c r="N31" s="587" t="s">
        <v>51</v>
      </c>
      <c r="O31" s="587" t="s">
        <v>36</v>
      </c>
      <c r="P31" s="587" t="s">
        <v>320</v>
      </c>
      <c r="Q31" s="80"/>
      <c r="R31" s="673" t="s">
        <v>148</v>
      </c>
      <c r="S31" s="673" t="s">
        <v>148</v>
      </c>
      <c r="T31" s="693" t="s">
        <v>148</v>
      </c>
      <c r="U31" s="673" t="s">
        <v>148</v>
      </c>
      <c r="V31" s="673" t="s">
        <v>148</v>
      </c>
      <c r="W31" s="694">
        <v>0</v>
      </c>
      <c r="X31" s="673">
        <v>0</v>
      </c>
      <c r="Y31" s="694">
        <v>0</v>
      </c>
      <c r="Z31" s="694">
        <v>0</v>
      </c>
      <c r="AA31" s="673" t="s">
        <v>148</v>
      </c>
      <c r="AB31" s="673" t="s">
        <v>148</v>
      </c>
      <c r="AC31" s="673" t="s">
        <v>148</v>
      </c>
      <c r="AD31" s="693" t="s">
        <v>148</v>
      </c>
      <c r="AE31" s="693" t="s">
        <v>148</v>
      </c>
      <c r="AF31" s="673" t="s">
        <v>148</v>
      </c>
      <c r="AG31" s="673" t="s">
        <v>148</v>
      </c>
    </row>
    <row r="32" spans="1:33" ht="92.1" customHeight="1" x14ac:dyDescent="0.25">
      <c r="A32" s="586">
        <f t="shared" si="0"/>
        <v>12</v>
      </c>
      <c r="B32" s="651" t="s">
        <v>264</v>
      </c>
      <c r="C32" s="652" t="s">
        <v>1603</v>
      </c>
      <c r="D32" s="653" t="s">
        <v>1604</v>
      </c>
      <c r="E32" s="651" t="s">
        <v>48</v>
      </c>
      <c r="F32" s="651">
        <v>1</v>
      </c>
      <c r="G32" s="654" t="s">
        <v>166</v>
      </c>
      <c r="H32" s="655" t="s">
        <v>652</v>
      </c>
      <c r="I32" s="651" t="s">
        <v>55</v>
      </c>
      <c r="J32" s="651" t="s">
        <v>35</v>
      </c>
      <c r="K32" s="651" t="s">
        <v>193</v>
      </c>
      <c r="L32" s="656"/>
      <c r="M32" s="657"/>
      <c r="N32" s="651" t="s">
        <v>51</v>
      </c>
      <c r="O32" s="651" t="s">
        <v>36</v>
      </c>
      <c r="P32" s="651" t="s">
        <v>320</v>
      </c>
      <c r="Q32" s="80"/>
      <c r="R32" s="673" t="s">
        <v>148</v>
      </c>
      <c r="S32" s="673" t="s">
        <v>148</v>
      </c>
      <c r="T32" s="693" t="s">
        <v>148</v>
      </c>
      <c r="U32" s="673" t="s">
        <v>148</v>
      </c>
      <c r="V32" s="673" t="s">
        <v>148</v>
      </c>
      <c r="W32" s="694">
        <v>0</v>
      </c>
      <c r="X32" s="673">
        <v>0</v>
      </c>
      <c r="Y32" s="694">
        <v>0</v>
      </c>
      <c r="Z32" s="694">
        <v>0</v>
      </c>
      <c r="AA32" s="673" t="s">
        <v>148</v>
      </c>
      <c r="AB32" s="673" t="s">
        <v>148</v>
      </c>
      <c r="AC32" s="673" t="s">
        <v>148</v>
      </c>
      <c r="AD32" s="693" t="s">
        <v>148</v>
      </c>
      <c r="AE32" s="693" t="s">
        <v>148</v>
      </c>
      <c r="AF32" s="673" t="s">
        <v>148</v>
      </c>
      <c r="AG32" s="673" t="s">
        <v>148</v>
      </c>
    </row>
    <row r="33" spans="1:33" ht="92.1" customHeight="1" x14ac:dyDescent="0.25">
      <c r="A33" s="586">
        <f t="shared" si="0"/>
        <v>13</v>
      </c>
      <c r="B33" s="587" t="s">
        <v>264</v>
      </c>
      <c r="C33" s="755">
        <v>72101516</v>
      </c>
      <c r="D33" s="589" t="s">
        <v>446</v>
      </c>
      <c r="E33" s="587" t="s">
        <v>48</v>
      </c>
      <c r="F33" s="587">
        <v>1</v>
      </c>
      <c r="G33" s="590" t="s">
        <v>81</v>
      </c>
      <c r="H33" s="591" t="s">
        <v>157</v>
      </c>
      <c r="I33" s="587" t="s">
        <v>55</v>
      </c>
      <c r="J33" s="587" t="s">
        <v>35</v>
      </c>
      <c r="K33" s="587" t="s">
        <v>37</v>
      </c>
      <c r="L33" s="592">
        <v>2800000</v>
      </c>
      <c r="M33" s="593">
        <v>2800000</v>
      </c>
      <c r="N33" s="587" t="s">
        <v>51</v>
      </c>
      <c r="O33" s="587" t="s">
        <v>36</v>
      </c>
      <c r="P33" s="587" t="s">
        <v>320</v>
      </c>
      <c r="Q33" s="80"/>
      <c r="R33" s="673" t="s">
        <v>148</v>
      </c>
      <c r="S33" s="673" t="s">
        <v>148</v>
      </c>
      <c r="T33" s="693" t="s">
        <v>148</v>
      </c>
      <c r="U33" s="673" t="s">
        <v>148</v>
      </c>
      <c r="V33" s="673" t="s">
        <v>148</v>
      </c>
      <c r="W33" s="694">
        <v>0</v>
      </c>
      <c r="X33" s="673">
        <v>0</v>
      </c>
      <c r="Y33" s="694">
        <v>0</v>
      </c>
      <c r="Z33" s="694">
        <v>0</v>
      </c>
      <c r="AA33" s="673" t="s">
        <v>148</v>
      </c>
      <c r="AB33" s="673" t="s">
        <v>148</v>
      </c>
      <c r="AC33" s="673" t="s">
        <v>148</v>
      </c>
      <c r="AD33" s="693" t="s">
        <v>148</v>
      </c>
      <c r="AE33" s="693" t="s">
        <v>148</v>
      </c>
      <c r="AF33" s="673" t="s">
        <v>148</v>
      </c>
      <c r="AG33" s="673" t="s">
        <v>148</v>
      </c>
    </row>
    <row r="34" spans="1:33" s="687" customFormat="1" ht="114" customHeight="1" x14ac:dyDescent="0.25">
      <c r="A34" s="890">
        <f t="shared" si="0"/>
        <v>14</v>
      </c>
      <c r="B34" s="759" t="s">
        <v>264</v>
      </c>
      <c r="C34" s="659" t="s">
        <v>205</v>
      </c>
      <c r="D34" s="660" t="s">
        <v>447</v>
      </c>
      <c r="E34" s="759" t="s">
        <v>48</v>
      </c>
      <c r="F34" s="759">
        <v>1</v>
      </c>
      <c r="G34" s="661" t="s">
        <v>80</v>
      </c>
      <c r="H34" s="662" t="s">
        <v>250</v>
      </c>
      <c r="I34" s="759" t="s">
        <v>55</v>
      </c>
      <c r="J34" s="759" t="s">
        <v>35</v>
      </c>
      <c r="K34" s="759" t="s">
        <v>46</v>
      </c>
      <c r="L34" s="663">
        <v>8000000</v>
      </c>
      <c r="M34" s="664">
        <v>8000000</v>
      </c>
      <c r="N34" s="759" t="s">
        <v>51</v>
      </c>
      <c r="O34" s="759" t="s">
        <v>36</v>
      </c>
      <c r="P34" s="759" t="s">
        <v>320</v>
      </c>
      <c r="Q34" s="80"/>
      <c r="R34" s="665" t="s">
        <v>1410</v>
      </c>
      <c r="S34" s="665" t="s">
        <v>1411</v>
      </c>
      <c r="T34" s="691">
        <v>43171</v>
      </c>
      <c r="U34" s="665" t="s">
        <v>1412</v>
      </c>
      <c r="V34" s="665" t="s">
        <v>665</v>
      </c>
      <c r="W34" s="692">
        <v>2960000</v>
      </c>
      <c r="X34" s="665"/>
      <c r="Y34" s="692">
        <v>2960000</v>
      </c>
      <c r="Z34" s="692">
        <v>2960000</v>
      </c>
      <c r="AA34" s="665" t="s">
        <v>1413</v>
      </c>
      <c r="AB34" s="665">
        <v>17518</v>
      </c>
      <c r="AC34" s="665" t="s">
        <v>1414</v>
      </c>
      <c r="AD34" s="691">
        <v>43174</v>
      </c>
      <c r="AE34" s="691">
        <v>43418</v>
      </c>
      <c r="AF34" s="665" t="s">
        <v>1415</v>
      </c>
      <c r="AG34" s="665" t="s">
        <v>661</v>
      </c>
    </row>
    <row r="35" spans="1:33" s="687" customFormat="1" ht="114" customHeight="1" x14ac:dyDescent="0.25">
      <c r="A35" s="891"/>
      <c r="B35" s="759" t="s">
        <v>264</v>
      </c>
      <c r="C35" s="659" t="s">
        <v>205</v>
      </c>
      <c r="D35" s="660" t="s">
        <v>586</v>
      </c>
      <c r="E35" s="759" t="s">
        <v>48</v>
      </c>
      <c r="F35" s="759">
        <v>1</v>
      </c>
      <c r="G35" s="661" t="s">
        <v>80</v>
      </c>
      <c r="H35" s="662" t="s">
        <v>250</v>
      </c>
      <c r="I35" s="759" t="s">
        <v>55</v>
      </c>
      <c r="J35" s="759" t="s">
        <v>35</v>
      </c>
      <c r="K35" s="759" t="s">
        <v>44</v>
      </c>
      <c r="L35" s="663">
        <v>2000000</v>
      </c>
      <c r="M35" s="664">
        <v>2000000</v>
      </c>
      <c r="N35" s="759" t="s">
        <v>51</v>
      </c>
      <c r="O35" s="759" t="s">
        <v>36</v>
      </c>
      <c r="P35" s="759" t="s">
        <v>320</v>
      </c>
      <c r="Q35" s="80"/>
      <c r="R35" s="665" t="s">
        <v>1410</v>
      </c>
      <c r="S35" s="665" t="s">
        <v>1411</v>
      </c>
      <c r="T35" s="691">
        <v>43171</v>
      </c>
      <c r="U35" s="665" t="s">
        <v>1412</v>
      </c>
      <c r="V35" s="665" t="s">
        <v>665</v>
      </c>
      <c r="W35" s="692">
        <v>2000000</v>
      </c>
      <c r="X35" s="665"/>
      <c r="Y35" s="692">
        <v>2000000</v>
      </c>
      <c r="Z35" s="692">
        <v>2000000</v>
      </c>
      <c r="AA35" s="665" t="s">
        <v>1413</v>
      </c>
      <c r="AB35" s="665">
        <v>17518</v>
      </c>
      <c r="AC35" s="665" t="s">
        <v>1414</v>
      </c>
      <c r="AD35" s="691">
        <v>43174</v>
      </c>
      <c r="AE35" s="691">
        <v>43418</v>
      </c>
      <c r="AF35" s="665" t="s">
        <v>1476</v>
      </c>
      <c r="AG35" s="665" t="s">
        <v>661</v>
      </c>
    </row>
    <row r="36" spans="1:33" ht="92.1" customHeight="1" x14ac:dyDescent="0.25">
      <c r="A36" s="586">
        <v>15</v>
      </c>
      <c r="B36" s="587" t="s">
        <v>316</v>
      </c>
      <c r="C36" s="755" t="s">
        <v>449</v>
      </c>
      <c r="D36" s="589" t="s">
        <v>450</v>
      </c>
      <c r="E36" s="587" t="s">
        <v>48</v>
      </c>
      <c r="F36" s="587">
        <v>1</v>
      </c>
      <c r="G36" s="590" t="s">
        <v>77</v>
      </c>
      <c r="H36" s="591" t="s">
        <v>157</v>
      </c>
      <c r="I36" s="587" t="s">
        <v>55</v>
      </c>
      <c r="J36" s="587" t="s">
        <v>35</v>
      </c>
      <c r="K36" s="587" t="s">
        <v>46</v>
      </c>
      <c r="L36" s="592">
        <v>20000000</v>
      </c>
      <c r="M36" s="593">
        <v>20000000</v>
      </c>
      <c r="N36" s="587" t="s">
        <v>51</v>
      </c>
      <c r="O36" s="587" t="s">
        <v>36</v>
      </c>
      <c r="P36" s="587" t="s">
        <v>320</v>
      </c>
      <c r="Q36" s="80"/>
      <c r="R36" s="673" t="s">
        <v>148</v>
      </c>
      <c r="S36" s="673" t="s">
        <v>148</v>
      </c>
      <c r="T36" s="693" t="s">
        <v>148</v>
      </c>
      <c r="U36" s="673" t="s">
        <v>148</v>
      </c>
      <c r="V36" s="673" t="s">
        <v>148</v>
      </c>
      <c r="W36" s="694">
        <v>0</v>
      </c>
      <c r="X36" s="673">
        <v>0</v>
      </c>
      <c r="Y36" s="694">
        <v>0</v>
      </c>
      <c r="Z36" s="694">
        <v>0</v>
      </c>
      <c r="AA36" s="673" t="s">
        <v>148</v>
      </c>
      <c r="AB36" s="673" t="s">
        <v>148</v>
      </c>
      <c r="AC36" s="673" t="s">
        <v>148</v>
      </c>
      <c r="AD36" s="693" t="s">
        <v>148</v>
      </c>
      <c r="AE36" s="693" t="s">
        <v>148</v>
      </c>
      <c r="AF36" s="673" t="s">
        <v>148</v>
      </c>
      <c r="AG36" s="673" t="s">
        <v>148</v>
      </c>
    </row>
    <row r="37" spans="1:33" ht="345" customHeight="1" x14ac:dyDescent="0.25">
      <c r="A37" s="658">
        <f t="shared" ref="A37:A44" si="1">SUM(A36+1)</f>
        <v>16</v>
      </c>
      <c r="B37" s="759" t="s">
        <v>264</v>
      </c>
      <c r="C37" s="659" t="s">
        <v>1409</v>
      </c>
      <c r="D37" s="660" t="s">
        <v>181</v>
      </c>
      <c r="E37" s="759" t="s">
        <v>48</v>
      </c>
      <c r="F37" s="759">
        <v>1</v>
      </c>
      <c r="G37" s="661" t="s">
        <v>76</v>
      </c>
      <c r="H37" s="662" t="s">
        <v>156</v>
      </c>
      <c r="I37" s="759" t="s">
        <v>55</v>
      </c>
      <c r="J37" s="759" t="s">
        <v>35</v>
      </c>
      <c r="K37" s="759" t="s">
        <v>44</v>
      </c>
      <c r="L37" s="663">
        <v>10000000</v>
      </c>
      <c r="M37" s="664">
        <v>10000000</v>
      </c>
      <c r="N37" s="759" t="s">
        <v>51</v>
      </c>
      <c r="O37" s="759" t="s">
        <v>36</v>
      </c>
      <c r="P37" s="759" t="s">
        <v>320</v>
      </c>
      <c r="Q37" s="80"/>
      <c r="R37" s="665" t="s">
        <v>1541</v>
      </c>
      <c r="S37" s="665" t="s">
        <v>1542</v>
      </c>
      <c r="T37" s="691">
        <v>43264</v>
      </c>
      <c r="U37" s="665" t="s">
        <v>1543</v>
      </c>
      <c r="V37" s="665" t="s">
        <v>665</v>
      </c>
      <c r="W37" s="692">
        <v>6670000</v>
      </c>
      <c r="X37" s="665">
        <v>0</v>
      </c>
      <c r="Y37" s="692">
        <v>6670000</v>
      </c>
      <c r="Z37" s="692">
        <v>6670000</v>
      </c>
      <c r="AA37" s="665" t="s">
        <v>1544</v>
      </c>
      <c r="AB37" s="665">
        <v>19618</v>
      </c>
      <c r="AC37" s="665" t="s">
        <v>1545</v>
      </c>
      <c r="AD37" s="691">
        <v>43265</v>
      </c>
      <c r="AE37" s="691">
        <v>43294</v>
      </c>
      <c r="AF37" s="665" t="s">
        <v>1476</v>
      </c>
      <c r="AG37" s="665" t="s">
        <v>661</v>
      </c>
    </row>
    <row r="38" spans="1:33" ht="92.1" customHeight="1" x14ac:dyDescent="0.25">
      <c r="A38" s="586">
        <f t="shared" si="1"/>
        <v>17</v>
      </c>
      <c r="B38" s="587" t="s">
        <v>264</v>
      </c>
      <c r="C38" s="755">
        <v>84131512</v>
      </c>
      <c r="D38" s="589" t="s">
        <v>183</v>
      </c>
      <c r="E38" s="587" t="s">
        <v>48</v>
      </c>
      <c r="F38" s="587">
        <v>1</v>
      </c>
      <c r="G38" s="590" t="s">
        <v>81</v>
      </c>
      <c r="H38" s="591">
        <v>12</v>
      </c>
      <c r="I38" s="587" t="s">
        <v>173</v>
      </c>
      <c r="J38" s="587" t="s">
        <v>35</v>
      </c>
      <c r="K38" s="587" t="s">
        <v>39</v>
      </c>
      <c r="L38" s="592">
        <v>7840000</v>
      </c>
      <c r="M38" s="593">
        <v>7840000</v>
      </c>
      <c r="N38" s="587" t="s">
        <v>51</v>
      </c>
      <c r="O38" s="587" t="s">
        <v>36</v>
      </c>
      <c r="P38" s="587" t="s">
        <v>320</v>
      </c>
      <c r="Q38" s="80"/>
      <c r="R38" s="673" t="s">
        <v>148</v>
      </c>
      <c r="S38" s="673" t="s">
        <v>148</v>
      </c>
      <c r="T38" s="693" t="s">
        <v>148</v>
      </c>
      <c r="U38" s="673" t="s">
        <v>148</v>
      </c>
      <c r="V38" s="673" t="s">
        <v>148</v>
      </c>
      <c r="W38" s="694">
        <v>0</v>
      </c>
      <c r="X38" s="673">
        <v>0</v>
      </c>
      <c r="Y38" s="694">
        <v>0</v>
      </c>
      <c r="Z38" s="694">
        <v>0</v>
      </c>
      <c r="AA38" s="673" t="s">
        <v>148</v>
      </c>
      <c r="AB38" s="673" t="s">
        <v>148</v>
      </c>
      <c r="AC38" s="673" t="s">
        <v>148</v>
      </c>
      <c r="AD38" s="693" t="s">
        <v>148</v>
      </c>
      <c r="AE38" s="693" t="s">
        <v>148</v>
      </c>
      <c r="AF38" s="673" t="s">
        <v>148</v>
      </c>
      <c r="AG38" s="673" t="s">
        <v>148</v>
      </c>
    </row>
    <row r="39" spans="1:33" ht="114" customHeight="1" x14ac:dyDescent="0.25">
      <c r="A39" s="658">
        <f t="shared" si="1"/>
        <v>18</v>
      </c>
      <c r="B39" s="759" t="s">
        <v>264</v>
      </c>
      <c r="C39" s="659">
        <v>44101501</v>
      </c>
      <c r="D39" s="660" t="s">
        <v>462</v>
      </c>
      <c r="E39" s="759" t="s">
        <v>48</v>
      </c>
      <c r="F39" s="759">
        <v>1</v>
      </c>
      <c r="G39" s="661" t="s">
        <v>76</v>
      </c>
      <c r="H39" s="662">
        <v>2</v>
      </c>
      <c r="I39" s="759" t="s">
        <v>55</v>
      </c>
      <c r="J39" s="759" t="s">
        <v>35</v>
      </c>
      <c r="K39" s="759" t="s">
        <v>195</v>
      </c>
      <c r="L39" s="663">
        <v>20000000</v>
      </c>
      <c r="M39" s="663">
        <v>20000000</v>
      </c>
      <c r="N39" s="759" t="s">
        <v>51</v>
      </c>
      <c r="O39" s="759" t="s">
        <v>36</v>
      </c>
      <c r="P39" s="759" t="s">
        <v>320</v>
      </c>
      <c r="Q39" s="80"/>
      <c r="R39" s="665" t="s">
        <v>1475</v>
      </c>
      <c r="S39" s="665" t="s">
        <v>1466</v>
      </c>
      <c r="T39" s="691">
        <v>43208</v>
      </c>
      <c r="U39" s="665" t="s">
        <v>1474</v>
      </c>
      <c r="V39" s="665" t="s">
        <v>665</v>
      </c>
      <c r="W39" s="692">
        <v>12197500</v>
      </c>
      <c r="X39" s="665">
        <v>0</v>
      </c>
      <c r="Y39" s="692">
        <v>12197500</v>
      </c>
      <c r="Z39" s="692">
        <v>12197500</v>
      </c>
      <c r="AA39" s="665" t="s">
        <v>1473</v>
      </c>
      <c r="AB39" s="665">
        <v>22118</v>
      </c>
      <c r="AC39" s="665" t="s">
        <v>1472</v>
      </c>
      <c r="AD39" s="691">
        <v>43209</v>
      </c>
      <c r="AE39" s="691">
        <v>43238</v>
      </c>
      <c r="AF39" s="665" t="s">
        <v>668</v>
      </c>
      <c r="AG39" s="665" t="s">
        <v>661</v>
      </c>
    </row>
    <row r="40" spans="1:33" ht="121.15" customHeight="1" x14ac:dyDescent="0.25">
      <c r="A40" s="904">
        <f t="shared" si="1"/>
        <v>19</v>
      </c>
      <c r="B40" s="587" t="s">
        <v>316</v>
      </c>
      <c r="C40" s="755">
        <v>78181500</v>
      </c>
      <c r="D40" s="589" t="s">
        <v>591</v>
      </c>
      <c r="E40" s="587" t="s">
        <v>48</v>
      </c>
      <c r="F40" s="587">
        <v>1</v>
      </c>
      <c r="G40" s="590" t="s">
        <v>81</v>
      </c>
      <c r="H40" s="636" t="s">
        <v>1494</v>
      </c>
      <c r="I40" s="587" t="s">
        <v>55</v>
      </c>
      <c r="J40" s="587" t="s">
        <v>35</v>
      </c>
      <c r="K40" s="587" t="s">
        <v>459</v>
      </c>
      <c r="L40" s="592">
        <v>7000000</v>
      </c>
      <c r="M40" s="592">
        <v>7000000</v>
      </c>
      <c r="N40" s="587" t="s">
        <v>51</v>
      </c>
      <c r="O40" s="587" t="s">
        <v>36</v>
      </c>
      <c r="P40" s="587" t="s">
        <v>320</v>
      </c>
      <c r="Q40" s="80"/>
      <c r="R40" s="673" t="s">
        <v>148</v>
      </c>
      <c r="S40" s="673" t="s">
        <v>148</v>
      </c>
      <c r="T40" s="693" t="s">
        <v>148</v>
      </c>
      <c r="U40" s="673" t="s">
        <v>148</v>
      </c>
      <c r="V40" s="673" t="s">
        <v>148</v>
      </c>
      <c r="W40" s="694">
        <v>0</v>
      </c>
      <c r="X40" s="673">
        <v>0</v>
      </c>
      <c r="Y40" s="694">
        <v>0</v>
      </c>
      <c r="Z40" s="694">
        <v>0</v>
      </c>
      <c r="AA40" s="673" t="s">
        <v>148</v>
      </c>
      <c r="AB40" s="673" t="s">
        <v>148</v>
      </c>
      <c r="AC40" s="673" t="s">
        <v>148</v>
      </c>
      <c r="AD40" s="693" t="s">
        <v>148</v>
      </c>
      <c r="AE40" s="693" t="s">
        <v>148</v>
      </c>
      <c r="AF40" s="673" t="s">
        <v>148</v>
      </c>
      <c r="AG40" s="673" t="s">
        <v>148</v>
      </c>
    </row>
    <row r="41" spans="1:33" ht="121.15" customHeight="1" x14ac:dyDescent="0.25">
      <c r="A41" s="905"/>
      <c r="B41" s="587" t="s">
        <v>316</v>
      </c>
      <c r="C41" s="755">
        <v>78181501</v>
      </c>
      <c r="D41" s="589" t="s">
        <v>591</v>
      </c>
      <c r="E41" s="587" t="s">
        <v>48</v>
      </c>
      <c r="F41" s="587">
        <v>2</v>
      </c>
      <c r="G41" s="590" t="s">
        <v>81</v>
      </c>
      <c r="H41" s="636" t="s">
        <v>1494</v>
      </c>
      <c r="I41" s="587" t="s">
        <v>55</v>
      </c>
      <c r="J41" s="587" t="s">
        <v>35</v>
      </c>
      <c r="K41" s="587" t="s">
        <v>44</v>
      </c>
      <c r="L41" s="592">
        <v>12000000</v>
      </c>
      <c r="M41" s="592">
        <v>12000000</v>
      </c>
      <c r="N41" s="587" t="s">
        <v>51</v>
      </c>
      <c r="O41" s="587" t="s">
        <v>36</v>
      </c>
      <c r="P41" s="587" t="s">
        <v>320</v>
      </c>
      <c r="Q41" s="80"/>
      <c r="R41" s="673"/>
      <c r="S41" s="673"/>
      <c r="T41" s="693"/>
      <c r="U41" s="673"/>
      <c r="V41" s="673"/>
      <c r="W41" s="694"/>
      <c r="X41" s="673"/>
      <c r="Y41" s="694"/>
      <c r="Z41" s="694"/>
      <c r="AA41" s="673"/>
      <c r="AB41" s="673"/>
      <c r="AC41" s="673"/>
      <c r="AD41" s="693"/>
      <c r="AE41" s="693"/>
      <c r="AF41" s="673"/>
      <c r="AG41" s="673"/>
    </row>
    <row r="42" spans="1:33" ht="92.1" customHeight="1" x14ac:dyDescent="0.25">
      <c r="A42" s="586">
        <f>SUM(A40+1)</f>
        <v>20</v>
      </c>
      <c r="B42" s="587" t="s">
        <v>316</v>
      </c>
      <c r="C42" s="755">
        <v>92101501</v>
      </c>
      <c r="D42" s="589" t="s">
        <v>460</v>
      </c>
      <c r="E42" s="587" t="s">
        <v>48</v>
      </c>
      <c r="F42" s="587">
        <v>1</v>
      </c>
      <c r="G42" s="590" t="s">
        <v>77</v>
      </c>
      <c r="H42" s="591" t="s">
        <v>1260</v>
      </c>
      <c r="I42" s="587" t="s">
        <v>441</v>
      </c>
      <c r="J42" s="587" t="s">
        <v>35</v>
      </c>
      <c r="K42" s="587" t="s">
        <v>461</v>
      </c>
      <c r="L42" s="593">
        <v>463474810</v>
      </c>
      <c r="M42" s="593">
        <v>17000000</v>
      </c>
      <c r="N42" s="587" t="s">
        <v>49</v>
      </c>
      <c r="O42" s="587" t="s">
        <v>445</v>
      </c>
      <c r="P42" s="587" t="s">
        <v>320</v>
      </c>
      <c r="Q42" s="80"/>
      <c r="R42" s="673" t="s">
        <v>148</v>
      </c>
      <c r="S42" s="673" t="s">
        <v>148</v>
      </c>
      <c r="T42" s="693" t="s">
        <v>148</v>
      </c>
      <c r="U42" s="673" t="s">
        <v>148</v>
      </c>
      <c r="V42" s="673" t="s">
        <v>148</v>
      </c>
      <c r="W42" s="694">
        <v>0</v>
      </c>
      <c r="X42" s="673">
        <v>0</v>
      </c>
      <c r="Y42" s="694">
        <v>0</v>
      </c>
      <c r="Z42" s="694">
        <v>0</v>
      </c>
      <c r="AA42" s="673" t="s">
        <v>148</v>
      </c>
      <c r="AB42" s="673" t="s">
        <v>148</v>
      </c>
      <c r="AC42" s="673" t="s">
        <v>148</v>
      </c>
      <c r="AD42" s="693" t="s">
        <v>148</v>
      </c>
      <c r="AE42" s="693" t="s">
        <v>148</v>
      </c>
      <c r="AF42" s="673" t="s">
        <v>148</v>
      </c>
      <c r="AG42" s="673" t="s">
        <v>148</v>
      </c>
    </row>
    <row r="43" spans="1:33" ht="92.1" customHeight="1" x14ac:dyDescent="0.25">
      <c r="A43" s="586">
        <f t="shared" si="1"/>
        <v>21</v>
      </c>
      <c r="B43" s="651" t="s">
        <v>264</v>
      </c>
      <c r="C43" s="652">
        <v>44110000</v>
      </c>
      <c r="D43" s="653" t="s">
        <v>228</v>
      </c>
      <c r="E43" s="651" t="s">
        <v>48</v>
      </c>
      <c r="F43" s="651">
        <v>1</v>
      </c>
      <c r="G43" s="654" t="s">
        <v>78</v>
      </c>
      <c r="H43" s="655" t="s">
        <v>156</v>
      </c>
      <c r="I43" s="651" t="s">
        <v>53</v>
      </c>
      <c r="J43" s="651" t="s">
        <v>35</v>
      </c>
      <c r="K43" s="651" t="s">
        <v>41</v>
      </c>
      <c r="L43" s="656"/>
      <c r="M43" s="657"/>
      <c r="N43" s="587" t="s">
        <v>51</v>
      </c>
      <c r="O43" s="587" t="s">
        <v>36</v>
      </c>
      <c r="P43" s="587" t="s">
        <v>320</v>
      </c>
      <c r="Q43" s="80"/>
      <c r="R43" s="673" t="s">
        <v>148</v>
      </c>
      <c r="S43" s="673" t="s">
        <v>148</v>
      </c>
      <c r="T43" s="693" t="s">
        <v>148</v>
      </c>
      <c r="U43" s="673" t="s">
        <v>148</v>
      </c>
      <c r="V43" s="673" t="s">
        <v>148</v>
      </c>
      <c r="W43" s="694">
        <v>0</v>
      </c>
      <c r="X43" s="673">
        <v>0</v>
      </c>
      <c r="Y43" s="694">
        <v>0</v>
      </c>
      <c r="Z43" s="694">
        <v>0</v>
      </c>
      <c r="AA43" s="673" t="s">
        <v>148</v>
      </c>
      <c r="AB43" s="673" t="s">
        <v>148</v>
      </c>
      <c r="AC43" s="673" t="s">
        <v>148</v>
      </c>
      <c r="AD43" s="693" t="s">
        <v>148</v>
      </c>
      <c r="AE43" s="693" t="s">
        <v>148</v>
      </c>
      <c r="AF43" s="673" t="s">
        <v>148</v>
      </c>
      <c r="AG43" s="673" t="s">
        <v>148</v>
      </c>
    </row>
    <row r="44" spans="1:33" ht="92.1" customHeight="1" x14ac:dyDescent="0.25">
      <c r="A44" s="890">
        <f t="shared" si="1"/>
        <v>22</v>
      </c>
      <c r="B44" s="759" t="s">
        <v>264</v>
      </c>
      <c r="C44" s="659">
        <v>81111820</v>
      </c>
      <c r="D44" s="660" t="s">
        <v>645</v>
      </c>
      <c r="E44" s="759" t="s">
        <v>48</v>
      </c>
      <c r="F44" s="759">
        <v>1</v>
      </c>
      <c r="G44" s="661" t="s">
        <v>75</v>
      </c>
      <c r="H44" s="662" t="s">
        <v>470</v>
      </c>
      <c r="I44" s="759" t="s">
        <v>61</v>
      </c>
      <c r="J44" s="759" t="s">
        <v>35</v>
      </c>
      <c r="K44" s="759" t="s">
        <v>37</v>
      </c>
      <c r="L44" s="663">
        <v>6300000</v>
      </c>
      <c r="M44" s="664">
        <v>6300000</v>
      </c>
      <c r="N44" s="759" t="s">
        <v>51</v>
      </c>
      <c r="O44" s="759" t="s">
        <v>36</v>
      </c>
      <c r="P44" s="759" t="s">
        <v>320</v>
      </c>
      <c r="Q44" s="80"/>
      <c r="R44" s="665" t="s">
        <v>662</v>
      </c>
      <c r="S44" s="665" t="s">
        <v>663</v>
      </c>
      <c r="T44" s="691">
        <v>43126</v>
      </c>
      <c r="U44" s="665" t="s">
        <v>664</v>
      </c>
      <c r="V44" s="665" t="s">
        <v>665</v>
      </c>
      <c r="W44" s="692">
        <v>6064473</v>
      </c>
      <c r="X44" s="665">
        <v>0</v>
      </c>
      <c r="Y44" s="692">
        <v>6064473</v>
      </c>
      <c r="Z44" s="692">
        <v>6064473</v>
      </c>
      <c r="AA44" s="665" t="s">
        <v>666</v>
      </c>
      <c r="AB44" s="665" t="s">
        <v>1266</v>
      </c>
      <c r="AC44" s="665" t="s">
        <v>667</v>
      </c>
      <c r="AD44" s="691">
        <v>43133</v>
      </c>
      <c r="AE44" s="691">
        <v>43497</v>
      </c>
      <c r="AF44" s="665" t="s">
        <v>668</v>
      </c>
      <c r="AG44" s="665" t="s">
        <v>661</v>
      </c>
    </row>
    <row r="45" spans="1:33" ht="91.9" customHeight="1" x14ac:dyDescent="0.25">
      <c r="A45" s="891"/>
      <c r="B45" s="759" t="s">
        <v>264</v>
      </c>
      <c r="C45" s="659" t="s">
        <v>1441</v>
      </c>
      <c r="D45" s="660" t="s">
        <v>613</v>
      </c>
      <c r="E45" s="759" t="s">
        <v>48</v>
      </c>
      <c r="F45" s="759">
        <v>1</v>
      </c>
      <c r="G45" s="661" t="s">
        <v>78</v>
      </c>
      <c r="H45" s="662" t="s">
        <v>156</v>
      </c>
      <c r="I45" s="759" t="s">
        <v>614</v>
      </c>
      <c r="J45" s="759" t="s">
        <v>35</v>
      </c>
      <c r="K45" s="759" t="s">
        <v>195</v>
      </c>
      <c r="L45" s="663">
        <v>7400000</v>
      </c>
      <c r="M45" s="664">
        <v>7400000</v>
      </c>
      <c r="N45" s="759" t="s">
        <v>51</v>
      </c>
      <c r="O45" s="759" t="s">
        <v>36</v>
      </c>
      <c r="P45" s="759" t="s">
        <v>320</v>
      </c>
      <c r="Q45" s="80"/>
      <c r="R45" s="665" t="s">
        <v>1471</v>
      </c>
      <c r="S45" s="665" t="s">
        <v>1470</v>
      </c>
      <c r="T45" s="691">
        <v>43213</v>
      </c>
      <c r="U45" s="665" t="s">
        <v>1469</v>
      </c>
      <c r="V45" s="665" t="s">
        <v>665</v>
      </c>
      <c r="W45" s="692">
        <v>6003550</v>
      </c>
      <c r="X45" s="665">
        <v>0</v>
      </c>
      <c r="Y45" s="692">
        <f>SUM(W45+X45)</f>
        <v>6003550</v>
      </c>
      <c r="Z45" s="692">
        <f>SUM(X45+Y45)</f>
        <v>6003550</v>
      </c>
      <c r="AA45" s="665" t="s">
        <v>1468</v>
      </c>
      <c r="AB45" s="665">
        <v>20518</v>
      </c>
      <c r="AC45" s="665" t="s">
        <v>1591</v>
      </c>
      <c r="AD45" s="691">
        <v>43215</v>
      </c>
      <c r="AE45" s="691">
        <v>43244</v>
      </c>
      <c r="AF45" s="665" t="s">
        <v>668</v>
      </c>
      <c r="AG45" s="665" t="s">
        <v>661</v>
      </c>
    </row>
    <row r="46" spans="1:33" ht="117" customHeight="1" x14ac:dyDescent="0.25">
      <c r="A46" s="658">
        <f>SUM(A44+1)</f>
        <v>23</v>
      </c>
      <c r="B46" s="759" t="s">
        <v>490</v>
      </c>
      <c r="C46" s="659">
        <v>43211701</v>
      </c>
      <c r="D46" s="660" t="s">
        <v>491</v>
      </c>
      <c r="E46" s="759" t="s">
        <v>48</v>
      </c>
      <c r="F46" s="759">
        <v>1</v>
      </c>
      <c r="G46" s="661" t="s">
        <v>76</v>
      </c>
      <c r="H46" s="662" t="s">
        <v>156</v>
      </c>
      <c r="I46" s="759" t="s">
        <v>53</v>
      </c>
      <c r="J46" s="759" t="s">
        <v>35</v>
      </c>
      <c r="K46" s="759" t="s">
        <v>195</v>
      </c>
      <c r="L46" s="663">
        <v>16400000</v>
      </c>
      <c r="M46" s="664">
        <v>16400000</v>
      </c>
      <c r="N46" s="759" t="s">
        <v>51</v>
      </c>
      <c r="O46" s="759" t="s">
        <v>36</v>
      </c>
      <c r="P46" s="759" t="s">
        <v>308</v>
      </c>
      <c r="Q46" s="80"/>
      <c r="R46" s="886" t="s">
        <v>1467</v>
      </c>
      <c r="S46" s="886" t="s">
        <v>1466</v>
      </c>
      <c r="T46" s="888">
        <v>43214</v>
      </c>
      <c r="U46" s="886" t="s">
        <v>1465</v>
      </c>
      <c r="V46" s="886" t="s">
        <v>665</v>
      </c>
      <c r="W46" s="710">
        <v>16232790</v>
      </c>
      <c r="X46" s="711">
        <v>0</v>
      </c>
      <c r="Y46" s="710">
        <v>16232790</v>
      </c>
      <c r="Z46" s="710">
        <v>16232790</v>
      </c>
      <c r="AA46" s="886" t="s">
        <v>1464</v>
      </c>
      <c r="AB46" s="886">
        <v>21518</v>
      </c>
      <c r="AC46" s="886" t="s">
        <v>1463</v>
      </c>
      <c r="AD46" s="888">
        <v>43215</v>
      </c>
      <c r="AE46" s="888">
        <v>43244</v>
      </c>
      <c r="AF46" s="886" t="s">
        <v>668</v>
      </c>
      <c r="AG46" s="886" t="s">
        <v>661</v>
      </c>
    </row>
    <row r="47" spans="1:33" ht="92.1" customHeight="1" x14ac:dyDescent="0.25">
      <c r="A47" s="658">
        <f t="shared" ref="A47:A64" si="2">SUM(A46+1)</f>
        <v>24</v>
      </c>
      <c r="B47" s="759" t="s">
        <v>264</v>
      </c>
      <c r="C47" s="659">
        <v>44101706</v>
      </c>
      <c r="D47" s="660" t="s">
        <v>463</v>
      </c>
      <c r="E47" s="759" t="s">
        <v>48</v>
      </c>
      <c r="F47" s="759">
        <v>1</v>
      </c>
      <c r="G47" s="661" t="s">
        <v>76</v>
      </c>
      <c r="H47" s="662">
        <v>2</v>
      </c>
      <c r="I47" s="759" t="s">
        <v>53</v>
      </c>
      <c r="J47" s="759" t="s">
        <v>35</v>
      </c>
      <c r="K47" s="759" t="s">
        <v>44</v>
      </c>
      <c r="L47" s="663">
        <v>3000000</v>
      </c>
      <c r="M47" s="663">
        <v>3000000</v>
      </c>
      <c r="N47" s="759" t="s">
        <v>51</v>
      </c>
      <c r="O47" s="759" t="s">
        <v>36</v>
      </c>
      <c r="P47" s="759" t="s">
        <v>320</v>
      </c>
      <c r="Q47" s="80"/>
      <c r="R47" s="887"/>
      <c r="S47" s="887"/>
      <c r="T47" s="889"/>
      <c r="U47" s="887"/>
      <c r="V47" s="887"/>
      <c r="W47" s="710">
        <v>2945250</v>
      </c>
      <c r="X47" s="711">
        <v>0</v>
      </c>
      <c r="Y47" s="710">
        <v>2945250</v>
      </c>
      <c r="Z47" s="710">
        <v>2945250</v>
      </c>
      <c r="AA47" s="887"/>
      <c r="AB47" s="887"/>
      <c r="AC47" s="887"/>
      <c r="AD47" s="889"/>
      <c r="AE47" s="889"/>
      <c r="AF47" s="887"/>
      <c r="AG47" s="887"/>
    </row>
    <row r="48" spans="1:33" ht="92.1" customHeight="1" x14ac:dyDescent="0.25">
      <c r="A48" s="586">
        <f t="shared" si="2"/>
        <v>25</v>
      </c>
      <c r="B48" s="651" t="s">
        <v>198</v>
      </c>
      <c r="C48" s="652">
        <v>44121636</v>
      </c>
      <c r="D48" s="653" t="s">
        <v>546</v>
      </c>
      <c r="E48" s="651" t="s">
        <v>48</v>
      </c>
      <c r="F48" s="651">
        <v>1</v>
      </c>
      <c r="G48" s="654" t="s">
        <v>78</v>
      </c>
      <c r="H48" s="655" t="s">
        <v>156</v>
      </c>
      <c r="I48" s="651" t="s">
        <v>53</v>
      </c>
      <c r="J48" s="651" t="s">
        <v>35</v>
      </c>
      <c r="K48" s="651" t="s">
        <v>195</v>
      </c>
      <c r="L48" s="656"/>
      <c r="M48" s="657"/>
      <c r="N48" s="651" t="s">
        <v>51</v>
      </c>
      <c r="O48" s="651" t="s">
        <v>36</v>
      </c>
      <c r="P48" s="651" t="s">
        <v>544</v>
      </c>
      <c r="Q48" s="80"/>
      <c r="R48" s="673" t="s">
        <v>148</v>
      </c>
      <c r="S48" s="673" t="s">
        <v>148</v>
      </c>
      <c r="T48" s="693" t="s">
        <v>148</v>
      </c>
      <c r="U48" s="673" t="s">
        <v>148</v>
      </c>
      <c r="V48" s="673" t="s">
        <v>148</v>
      </c>
      <c r="W48" s="694">
        <v>0</v>
      </c>
      <c r="X48" s="673">
        <v>0</v>
      </c>
      <c r="Y48" s="694">
        <v>0</v>
      </c>
      <c r="Z48" s="694">
        <v>0</v>
      </c>
      <c r="AA48" s="673" t="s">
        <v>148</v>
      </c>
      <c r="AB48" s="673" t="s">
        <v>148</v>
      </c>
      <c r="AC48" s="673" t="s">
        <v>148</v>
      </c>
      <c r="AD48" s="693" t="s">
        <v>148</v>
      </c>
      <c r="AE48" s="693" t="s">
        <v>148</v>
      </c>
      <c r="AF48" s="673" t="s">
        <v>148</v>
      </c>
      <c r="AG48" s="673" t="s">
        <v>148</v>
      </c>
    </row>
    <row r="49" spans="1:33" ht="92.1" customHeight="1" x14ac:dyDescent="0.25">
      <c r="A49" s="586">
        <f t="shared" si="2"/>
        <v>26</v>
      </c>
      <c r="B49" s="651" t="s">
        <v>316</v>
      </c>
      <c r="C49" s="652">
        <v>72152302</v>
      </c>
      <c r="D49" s="653" t="s">
        <v>465</v>
      </c>
      <c r="E49" s="651" t="s">
        <v>59</v>
      </c>
      <c r="F49" s="651">
        <v>1</v>
      </c>
      <c r="G49" s="654" t="s">
        <v>81</v>
      </c>
      <c r="H49" s="655" t="s">
        <v>156</v>
      </c>
      <c r="I49" s="651" t="s">
        <v>55</v>
      </c>
      <c r="J49" s="651" t="s">
        <v>35</v>
      </c>
      <c r="K49" s="651" t="s">
        <v>37</v>
      </c>
      <c r="L49" s="656"/>
      <c r="M49" s="656"/>
      <c r="N49" s="651" t="s">
        <v>51</v>
      </c>
      <c r="O49" s="651" t="s">
        <v>36</v>
      </c>
      <c r="P49" s="651" t="s">
        <v>320</v>
      </c>
      <c r="Q49" s="80"/>
      <c r="R49" s="673" t="s">
        <v>148</v>
      </c>
      <c r="S49" s="673" t="s">
        <v>148</v>
      </c>
      <c r="T49" s="693" t="s">
        <v>148</v>
      </c>
      <c r="U49" s="673" t="s">
        <v>148</v>
      </c>
      <c r="V49" s="673" t="s">
        <v>148</v>
      </c>
      <c r="W49" s="694">
        <v>0</v>
      </c>
      <c r="X49" s="673">
        <v>0</v>
      </c>
      <c r="Y49" s="694">
        <v>0</v>
      </c>
      <c r="Z49" s="694">
        <v>0</v>
      </c>
      <c r="AA49" s="673" t="s">
        <v>148</v>
      </c>
      <c r="AB49" s="673" t="s">
        <v>148</v>
      </c>
      <c r="AC49" s="673" t="s">
        <v>148</v>
      </c>
      <c r="AD49" s="693" t="s">
        <v>148</v>
      </c>
      <c r="AE49" s="693" t="s">
        <v>148</v>
      </c>
      <c r="AF49" s="673" t="s">
        <v>148</v>
      </c>
      <c r="AG49" s="673" t="s">
        <v>148</v>
      </c>
    </row>
    <row r="50" spans="1:33" ht="152.1" customHeight="1" x14ac:dyDescent="0.25">
      <c r="A50" s="658">
        <f t="shared" si="2"/>
        <v>27</v>
      </c>
      <c r="B50" s="759" t="s">
        <v>316</v>
      </c>
      <c r="C50" s="659">
        <v>56120000</v>
      </c>
      <c r="D50" s="660" t="s">
        <v>297</v>
      </c>
      <c r="E50" s="759" t="s">
        <v>48</v>
      </c>
      <c r="F50" s="759">
        <v>1</v>
      </c>
      <c r="G50" s="661" t="s">
        <v>166</v>
      </c>
      <c r="H50" s="662" t="s">
        <v>157</v>
      </c>
      <c r="I50" s="759" t="s">
        <v>55</v>
      </c>
      <c r="J50" s="759" t="s">
        <v>35</v>
      </c>
      <c r="K50" s="759" t="s">
        <v>296</v>
      </c>
      <c r="L50" s="663">
        <v>20000000</v>
      </c>
      <c r="M50" s="664">
        <v>20000000</v>
      </c>
      <c r="N50" s="759" t="s">
        <v>51</v>
      </c>
      <c r="O50" s="759" t="s">
        <v>36</v>
      </c>
      <c r="P50" s="759" t="s">
        <v>320</v>
      </c>
      <c r="Q50" s="80"/>
      <c r="R50" s="665" t="s">
        <v>1586</v>
      </c>
      <c r="S50" s="665" t="s">
        <v>1587</v>
      </c>
      <c r="T50" s="691">
        <v>43276</v>
      </c>
      <c r="U50" s="665" t="s">
        <v>1588</v>
      </c>
      <c r="V50" s="665" t="s">
        <v>665</v>
      </c>
      <c r="W50" s="692">
        <v>19784940</v>
      </c>
      <c r="X50" s="665">
        <v>0</v>
      </c>
      <c r="Y50" s="692">
        <v>19784940</v>
      </c>
      <c r="Z50" s="692">
        <v>19784940</v>
      </c>
      <c r="AA50" s="665" t="s">
        <v>1589</v>
      </c>
      <c r="AB50" s="665">
        <v>25218</v>
      </c>
      <c r="AC50" s="665" t="s">
        <v>1590</v>
      </c>
      <c r="AD50" s="691">
        <v>43277</v>
      </c>
      <c r="AE50" s="691">
        <v>43306</v>
      </c>
      <c r="AF50" s="665" t="s">
        <v>1476</v>
      </c>
      <c r="AG50" s="665" t="s">
        <v>661</v>
      </c>
    </row>
    <row r="51" spans="1:33" ht="92.1" customHeight="1" x14ac:dyDescent="0.25">
      <c r="A51" s="586">
        <f t="shared" si="2"/>
        <v>28</v>
      </c>
      <c r="B51" s="587" t="s">
        <v>316</v>
      </c>
      <c r="C51" s="755" t="s">
        <v>468</v>
      </c>
      <c r="D51" s="589" t="s">
        <v>469</v>
      </c>
      <c r="E51" s="587" t="s">
        <v>48</v>
      </c>
      <c r="F51" s="587">
        <v>1</v>
      </c>
      <c r="G51" s="590" t="s">
        <v>81</v>
      </c>
      <c r="H51" s="591" t="s">
        <v>250</v>
      </c>
      <c r="I51" s="587" t="s">
        <v>55</v>
      </c>
      <c r="J51" s="587" t="s">
        <v>35</v>
      </c>
      <c r="K51" s="587" t="s">
        <v>37</v>
      </c>
      <c r="L51" s="592">
        <v>5000000</v>
      </c>
      <c r="M51" s="593">
        <v>5000000</v>
      </c>
      <c r="N51" s="587" t="s">
        <v>51</v>
      </c>
      <c r="O51" s="587" t="s">
        <v>36</v>
      </c>
      <c r="P51" s="587" t="s">
        <v>320</v>
      </c>
      <c r="Q51" s="80"/>
      <c r="R51" s="673" t="s">
        <v>148</v>
      </c>
      <c r="S51" s="673" t="s">
        <v>148</v>
      </c>
      <c r="T51" s="693" t="s">
        <v>148</v>
      </c>
      <c r="U51" s="673" t="s">
        <v>148</v>
      </c>
      <c r="V51" s="673" t="s">
        <v>148</v>
      </c>
      <c r="W51" s="694">
        <v>0</v>
      </c>
      <c r="X51" s="673">
        <v>0</v>
      </c>
      <c r="Y51" s="694">
        <v>0</v>
      </c>
      <c r="Z51" s="694">
        <v>0</v>
      </c>
      <c r="AA51" s="673" t="s">
        <v>148</v>
      </c>
      <c r="AB51" s="673" t="s">
        <v>148</v>
      </c>
      <c r="AC51" s="673" t="s">
        <v>148</v>
      </c>
      <c r="AD51" s="693" t="s">
        <v>148</v>
      </c>
      <c r="AE51" s="693" t="s">
        <v>148</v>
      </c>
      <c r="AF51" s="673" t="s">
        <v>148</v>
      </c>
      <c r="AG51" s="673" t="s">
        <v>148</v>
      </c>
    </row>
    <row r="52" spans="1:33" ht="147.6" customHeight="1" x14ac:dyDescent="0.25">
      <c r="A52" s="904">
        <f t="shared" si="2"/>
        <v>29</v>
      </c>
      <c r="B52" s="759" t="s">
        <v>316</v>
      </c>
      <c r="C52" s="659" t="s">
        <v>1493</v>
      </c>
      <c r="D52" s="660" t="s">
        <v>1492</v>
      </c>
      <c r="E52" s="759" t="s">
        <v>48</v>
      </c>
      <c r="F52" s="759">
        <v>1</v>
      </c>
      <c r="G52" s="661" t="s">
        <v>79</v>
      </c>
      <c r="H52" s="662" t="s">
        <v>156</v>
      </c>
      <c r="I52" s="759" t="s">
        <v>53</v>
      </c>
      <c r="J52" s="759" t="s">
        <v>35</v>
      </c>
      <c r="K52" s="759" t="s">
        <v>41</v>
      </c>
      <c r="L52" s="717">
        <v>5477570</v>
      </c>
      <c r="M52" s="732">
        <v>5477570</v>
      </c>
      <c r="N52" s="759" t="s">
        <v>51</v>
      </c>
      <c r="O52" s="759" t="s">
        <v>36</v>
      </c>
      <c r="P52" s="759" t="s">
        <v>319</v>
      </c>
      <c r="Q52" s="80"/>
      <c r="R52" s="665" t="s">
        <v>1546</v>
      </c>
      <c r="S52" s="665" t="s">
        <v>1466</v>
      </c>
      <c r="T52" s="691">
        <v>43264</v>
      </c>
      <c r="U52" s="665" t="s">
        <v>1547</v>
      </c>
      <c r="V52" s="665" t="s">
        <v>665</v>
      </c>
      <c r="W52" s="692">
        <v>8259314</v>
      </c>
      <c r="X52" s="665">
        <v>0</v>
      </c>
      <c r="Y52" s="692">
        <v>8259314</v>
      </c>
      <c r="Z52" s="692">
        <v>8259314</v>
      </c>
      <c r="AA52" s="665" t="s">
        <v>1548</v>
      </c>
      <c r="AB52" s="665">
        <v>21118</v>
      </c>
      <c r="AC52" s="665" t="s">
        <v>1549</v>
      </c>
      <c r="AD52" s="691">
        <v>43264</v>
      </c>
      <c r="AE52" s="691">
        <v>43295</v>
      </c>
      <c r="AF52" s="665" t="s">
        <v>668</v>
      </c>
      <c r="AG52" s="665" t="s">
        <v>661</v>
      </c>
    </row>
    <row r="53" spans="1:33" ht="126.6" customHeight="1" x14ac:dyDescent="0.25">
      <c r="A53" s="905"/>
      <c r="B53" s="651" t="s">
        <v>198</v>
      </c>
      <c r="C53" s="652">
        <v>44121636</v>
      </c>
      <c r="D53" s="653" t="s">
        <v>1492</v>
      </c>
      <c r="E53" s="651" t="s">
        <v>48</v>
      </c>
      <c r="F53" s="651">
        <v>1</v>
      </c>
      <c r="G53" s="654" t="s">
        <v>166</v>
      </c>
      <c r="H53" s="655" t="s">
        <v>156</v>
      </c>
      <c r="I53" s="651" t="s">
        <v>53</v>
      </c>
      <c r="J53" s="651" t="s">
        <v>35</v>
      </c>
      <c r="K53" s="651" t="s">
        <v>195</v>
      </c>
      <c r="L53" s="789"/>
      <c r="M53" s="790"/>
      <c r="N53" s="651" t="s">
        <v>51</v>
      </c>
      <c r="O53" s="651" t="s">
        <v>36</v>
      </c>
      <c r="P53" s="651" t="s">
        <v>319</v>
      </c>
      <c r="Q53" s="80"/>
      <c r="R53" s="673"/>
      <c r="S53" s="673"/>
      <c r="T53" s="693"/>
      <c r="U53" s="673"/>
      <c r="V53" s="673"/>
      <c r="W53" s="694"/>
      <c r="X53" s="673"/>
      <c r="Y53" s="694"/>
      <c r="Z53" s="694"/>
      <c r="AA53" s="673"/>
      <c r="AB53" s="673"/>
      <c r="AC53" s="673"/>
      <c r="AD53" s="693"/>
      <c r="AE53" s="693"/>
      <c r="AF53" s="673"/>
      <c r="AG53" s="673"/>
    </row>
    <row r="54" spans="1:33" ht="71.099999999999994" customHeight="1" x14ac:dyDescent="0.25">
      <c r="A54" s="658">
        <f>SUM(A52+1)</f>
        <v>30</v>
      </c>
      <c r="B54" s="759" t="s">
        <v>316</v>
      </c>
      <c r="C54" s="659" t="s">
        <v>71</v>
      </c>
      <c r="D54" s="660" t="s">
        <v>227</v>
      </c>
      <c r="E54" s="759" t="s">
        <v>48</v>
      </c>
      <c r="F54" s="759">
        <v>1</v>
      </c>
      <c r="G54" s="661" t="s">
        <v>73</v>
      </c>
      <c r="H54" s="662" t="s">
        <v>470</v>
      </c>
      <c r="I54" s="759" t="s">
        <v>50</v>
      </c>
      <c r="J54" s="759" t="s">
        <v>35</v>
      </c>
      <c r="K54" s="759" t="s">
        <v>203</v>
      </c>
      <c r="L54" s="663">
        <v>35000000</v>
      </c>
      <c r="M54" s="664">
        <v>35000000</v>
      </c>
      <c r="N54" s="759" t="s">
        <v>51</v>
      </c>
      <c r="O54" s="759" t="s">
        <v>36</v>
      </c>
      <c r="P54" s="759" t="s">
        <v>320</v>
      </c>
      <c r="Q54" s="80"/>
      <c r="R54" s="665" t="s">
        <v>669</v>
      </c>
      <c r="S54" s="665" t="s">
        <v>670</v>
      </c>
      <c r="T54" s="691">
        <v>43126</v>
      </c>
      <c r="U54" s="665" t="s">
        <v>671</v>
      </c>
      <c r="V54" s="665" t="s">
        <v>1226</v>
      </c>
      <c r="W54" s="692">
        <v>35000000</v>
      </c>
      <c r="X54" s="665">
        <v>0</v>
      </c>
      <c r="Y54" s="692">
        <v>35000000</v>
      </c>
      <c r="Z54" s="692">
        <v>35000000</v>
      </c>
      <c r="AA54" s="665" t="s">
        <v>673</v>
      </c>
      <c r="AB54" s="665" t="s">
        <v>1267</v>
      </c>
      <c r="AC54" s="665" t="s">
        <v>674</v>
      </c>
      <c r="AD54" s="691">
        <v>43126</v>
      </c>
      <c r="AE54" s="691">
        <v>43462</v>
      </c>
      <c r="AF54" s="665" t="s">
        <v>675</v>
      </c>
      <c r="AG54" s="665" t="s">
        <v>661</v>
      </c>
    </row>
    <row r="55" spans="1:33" ht="115.5" customHeight="1" x14ac:dyDescent="0.25">
      <c r="A55" s="658">
        <f t="shared" si="2"/>
        <v>31</v>
      </c>
      <c r="B55" s="759" t="s">
        <v>265</v>
      </c>
      <c r="C55" s="659">
        <v>80101706</v>
      </c>
      <c r="D55" s="660" t="s">
        <v>501</v>
      </c>
      <c r="E55" s="759" t="s">
        <v>48</v>
      </c>
      <c r="F55" s="759">
        <v>1</v>
      </c>
      <c r="G55" s="661" t="s">
        <v>73</v>
      </c>
      <c r="H55" s="662">
        <v>5</v>
      </c>
      <c r="I55" s="759" t="s">
        <v>61</v>
      </c>
      <c r="J55" s="759" t="s">
        <v>66</v>
      </c>
      <c r="K55" s="759" t="s">
        <v>601</v>
      </c>
      <c r="L55" s="663">
        <v>22500000</v>
      </c>
      <c r="M55" s="664">
        <v>22500000</v>
      </c>
      <c r="N55" s="759" t="s">
        <v>51</v>
      </c>
      <c r="O55" s="759" t="s">
        <v>36</v>
      </c>
      <c r="P55" s="759" t="s">
        <v>502</v>
      </c>
      <c r="Q55" s="80"/>
      <c r="R55" s="665" t="s">
        <v>676</v>
      </c>
      <c r="S55" s="665" t="s">
        <v>677</v>
      </c>
      <c r="T55" s="691">
        <v>43125</v>
      </c>
      <c r="U55" s="665" t="s">
        <v>678</v>
      </c>
      <c r="V55" s="665" t="s">
        <v>679</v>
      </c>
      <c r="W55" s="692">
        <v>16000000</v>
      </c>
      <c r="X55" s="665">
        <v>0</v>
      </c>
      <c r="Y55" s="692">
        <v>16000000</v>
      </c>
      <c r="Z55" s="692">
        <v>16000000</v>
      </c>
      <c r="AA55" s="665" t="s">
        <v>680</v>
      </c>
      <c r="AB55" s="665" t="s">
        <v>1268</v>
      </c>
      <c r="AC55" s="665" t="s">
        <v>681</v>
      </c>
      <c r="AD55" s="691">
        <v>43125</v>
      </c>
      <c r="AE55" s="691">
        <v>43367</v>
      </c>
      <c r="AF55" s="665" t="s">
        <v>1251</v>
      </c>
      <c r="AG55" s="665" t="s">
        <v>682</v>
      </c>
    </row>
    <row r="56" spans="1:33" ht="111" customHeight="1" x14ac:dyDescent="0.25">
      <c r="A56" s="658">
        <f t="shared" si="2"/>
        <v>32</v>
      </c>
      <c r="B56" s="759" t="s">
        <v>474</v>
      </c>
      <c r="C56" s="659" t="s">
        <v>1445</v>
      </c>
      <c r="D56" s="660" t="s">
        <v>1446</v>
      </c>
      <c r="E56" s="759" t="s">
        <v>48</v>
      </c>
      <c r="F56" s="759">
        <v>1</v>
      </c>
      <c r="G56" s="661" t="s">
        <v>76</v>
      </c>
      <c r="H56" s="662" t="s">
        <v>1260</v>
      </c>
      <c r="I56" s="759" t="s">
        <v>55</v>
      </c>
      <c r="J56" s="759" t="s">
        <v>35</v>
      </c>
      <c r="K56" s="759" t="s">
        <v>161</v>
      </c>
      <c r="L56" s="663">
        <v>10000000</v>
      </c>
      <c r="M56" s="664">
        <v>10000000</v>
      </c>
      <c r="N56" s="759" t="s">
        <v>51</v>
      </c>
      <c r="O56" s="759" t="s">
        <v>36</v>
      </c>
      <c r="P56" s="759" t="s">
        <v>475</v>
      </c>
      <c r="Q56" s="80"/>
      <c r="R56" s="665" t="s">
        <v>1559</v>
      </c>
      <c r="S56" s="665" t="s">
        <v>1560</v>
      </c>
      <c r="T56" s="691">
        <v>43249</v>
      </c>
      <c r="U56" s="665" t="s">
        <v>1561</v>
      </c>
      <c r="V56" s="665" t="s">
        <v>1226</v>
      </c>
      <c r="W56" s="692">
        <v>9200000</v>
      </c>
      <c r="X56" s="731">
        <v>0</v>
      </c>
      <c r="Y56" s="692">
        <v>9200000</v>
      </c>
      <c r="Z56" s="692">
        <v>9200000</v>
      </c>
      <c r="AA56" s="665" t="s">
        <v>1562</v>
      </c>
      <c r="AB56" s="733">
        <v>21018</v>
      </c>
      <c r="AC56" s="665" t="s">
        <v>1563</v>
      </c>
      <c r="AD56" s="691">
        <v>43252</v>
      </c>
      <c r="AE56" s="691">
        <v>43982</v>
      </c>
      <c r="AF56" s="665" t="s">
        <v>795</v>
      </c>
      <c r="AG56" s="665" t="s">
        <v>796</v>
      </c>
    </row>
    <row r="57" spans="1:33" ht="168" customHeight="1" x14ac:dyDescent="0.25">
      <c r="A57" s="674">
        <f t="shared" si="2"/>
        <v>33</v>
      </c>
      <c r="B57" s="666" t="s">
        <v>474</v>
      </c>
      <c r="C57" s="667">
        <v>78102200</v>
      </c>
      <c r="D57" s="668" t="s">
        <v>196</v>
      </c>
      <c r="E57" s="666" t="s">
        <v>48</v>
      </c>
      <c r="F57" s="587">
        <v>1</v>
      </c>
      <c r="G57" s="590" t="s">
        <v>77</v>
      </c>
      <c r="H57" s="591">
        <v>11.5</v>
      </c>
      <c r="I57" s="666" t="s">
        <v>61</v>
      </c>
      <c r="J57" s="666" t="s">
        <v>35</v>
      </c>
      <c r="K57" s="666" t="s">
        <v>58</v>
      </c>
      <c r="L57" s="672">
        <v>129202500</v>
      </c>
      <c r="M57" s="672">
        <v>10500000</v>
      </c>
      <c r="N57" s="666" t="s">
        <v>49</v>
      </c>
      <c r="O57" s="666" t="s">
        <v>445</v>
      </c>
      <c r="P57" s="666" t="s">
        <v>475</v>
      </c>
      <c r="Q57" s="80"/>
      <c r="R57" s="673" t="s">
        <v>148</v>
      </c>
      <c r="S57" s="673" t="s">
        <v>148</v>
      </c>
      <c r="T57" s="693" t="s">
        <v>148</v>
      </c>
      <c r="U57" s="673" t="s">
        <v>148</v>
      </c>
      <c r="V57" s="673" t="s">
        <v>148</v>
      </c>
      <c r="W57" s="694">
        <v>0</v>
      </c>
      <c r="X57" s="673">
        <v>0</v>
      </c>
      <c r="Y57" s="694">
        <v>0</v>
      </c>
      <c r="Z57" s="694">
        <v>0</v>
      </c>
      <c r="AA57" s="673" t="s">
        <v>148</v>
      </c>
      <c r="AB57" s="673" t="s">
        <v>148</v>
      </c>
      <c r="AC57" s="673" t="s">
        <v>148</v>
      </c>
      <c r="AD57" s="693" t="s">
        <v>148</v>
      </c>
      <c r="AE57" s="693" t="s">
        <v>148</v>
      </c>
      <c r="AF57" s="673" t="s">
        <v>148</v>
      </c>
      <c r="AG57" s="673" t="s">
        <v>148</v>
      </c>
    </row>
    <row r="58" spans="1:33" ht="179.25" customHeight="1" x14ac:dyDescent="0.25">
      <c r="A58" s="658">
        <f t="shared" si="2"/>
        <v>34</v>
      </c>
      <c r="B58" s="759" t="s">
        <v>316</v>
      </c>
      <c r="C58" s="659" t="s">
        <v>1444</v>
      </c>
      <c r="D58" s="660" t="s">
        <v>309</v>
      </c>
      <c r="E58" s="759" t="s">
        <v>48</v>
      </c>
      <c r="F58" s="759">
        <v>1</v>
      </c>
      <c r="G58" s="661" t="s">
        <v>76</v>
      </c>
      <c r="H58" s="662" t="s">
        <v>232</v>
      </c>
      <c r="I58" s="759" t="s">
        <v>55</v>
      </c>
      <c r="J58" s="759" t="s">
        <v>35</v>
      </c>
      <c r="K58" s="759" t="s">
        <v>46</v>
      </c>
      <c r="L58" s="664">
        <v>20000000</v>
      </c>
      <c r="M58" s="664">
        <v>20000000</v>
      </c>
      <c r="N58" s="759" t="s">
        <v>51</v>
      </c>
      <c r="O58" s="759" t="s">
        <v>36</v>
      </c>
      <c r="P58" s="759" t="s">
        <v>320</v>
      </c>
      <c r="Q58" s="80"/>
      <c r="R58" s="665" t="s">
        <v>1485</v>
      </c>
      <c r="S58" s="665" t="s">
        <v>1486</v>
      </c>
      <c r="T58" s="691">
        <v>43241</v>
      </c>
      <c r="U58" s="665" t="s">
        <v>1487</v>
      </c>
      <c r="V58" s="665" t="s">
        <v>657</v>
      </c>
      <c r="W58" s="692">
        <v>14900000</v>
      </c>
      <c r="X58" s="665">
        <v>0</v>
      </c>
      <c r="Y58" s="692">
        <v>14900000</v>
      </c>
      <c r="Z58" s="692">
        <v>14900000</v>
      </c>
      <c r="AA58" s="704" t="s">
        <v>1488</v>
      </c>
      <c r="AB58" s="665">
        <v>20918</v>
      </c>
      <c r="AC58" s="665" t="s">
        <v>1489</v>
      </c>
      <c r="AD58" s="691">
        <v>43242</v>
      </c>
      <c r="AE58" s="691">
        <v>43272</v>
      </c>
      <c r="AF58" s="691" t="s">
        <v>148</v>
      </c>
      <c r="AG58" s="665" t="s">
        <v>148</v>
      </c>
    </row>
    <row r="59" spans="1:33" ht="129" customHeight="1" x14ac:dyDescent="0.25">
      <c r="A59" s="658">
        <f t="shared" si="2"/>
        <v>35</v>
      </c>
      <c r="B59" s="759" t="s">
        <v>476</v>
      </c>
      <c r="C59" s="659" t="s">
        <v>1491</v>
      </c>
      <c r="D59" s="660" t="s">
        <v>1490</v>
      </c>
      <c r="E59" s="759" t="s">
        <v>48</v>
      </c>
      <c r="F59" s="759">
        <v>1</v>
      </c>
      <c r="G59" s="661" t="s">
        <v>79</v>
      </c>
      <c r="H59" s="662" t="s">
        <v>156</v>
      </c>
      <c r="I59" s="759" t="s">
        <v>53</v>
      </c>
      <c r="J59" s="759" t="s">
        <v>35</v>
      </c>
      <c r="K59" s="759" t="s">
        <v>41</v>
      </c>
      <c r="L59" s="663">
        <v>2809930</v>
      </c>
      <c r="M59" s="664">
        <v>2809930</v>
      </c>
      <c r="N59" s="759" t="s">
        <v>51</v>
      </c>
      <c r="O59" s="759" t="s">
        <v>36</v>
      </c>
      <c r="P59" s="759" t="s">
        <v>475</v>
      </c>
      <c r="Q59" s="80"/>
      <c r="R59" s="665" t="s">
        <v>1546</v>
      </c>
      <c r="S59" s="665" t="s">
        <v>1466</v>
      </c>
      <c r="T59" s="691">
        <v>43264</v>
      </c>
      <c r="U59" s="665" t="s">
        <v>1547</v>
      </c>
      <c r="V59" s="665" t="s">
        <v>665</v>
      </c>
      <c r="W59" s="692">
        <v>8259314</v>
      </c>
      <c r="X59" s="665">
        <v>0</v>
      </c>
      <c r="Y59" s="692">
        <v>8259314</v>
      </c>
      <c r="Z59" s="692">
        <v>8259314</v>
      </c>
      <c r="AA59" s="665" t="s">
        <v>1548</v>
      </c>
      <c r="AB59" s="665">
        <v>21118</v>
      </c>
      <c r="AC59" s="665" t="s">
        <v>1549</v>
      </c>
      <c r="AD59" s="691">
        <v>43264</v>
      </c>
      <c r="AE59" s="691">
        <v>43295</v>
      </c>
      <c r="AF59" s="665" t="s">
        <v>668</v>
      </c>
      <c r="AG59" s="665" t="s">
        <v>661</v>
      </c>
    </row>
    <row r="60" spans="1:33" ht="92.1" customHeight="1" x14ac:dyDescent="0.25">
      <c r="A60" s="674">
        <f t="shared" si="2"/>
        <v>36</v>
      </c>
      <c r="B60" s="651" t="s">
        <v>476</v>
      </c>
      <c r="C60" s="652">
        <v>44103124</v>
      </c>
      <c r="D60" s="653" t="s">
        <v>478</v>
      </c>
      <c r="E60" s="651" t="s">
        <v>48</v>
      </c>
      <c r="F60" s="651">
        <v>1</v>
      </c>
      <c r="G60" s="654" t="s">
        <v>78</v>
      </c>
      <c r="H60" s="655" t="s">
        <v>156</v>
      </c>
      <c r="I60" s="651" t="s">
        <v>55</v>
      </c>
      <c r="J60" s="651" t="s">
        <v>35</v>
      </c>
      <c r="K60" s="651" t="s">
        <v>41</v>
      </c>
      <c r="L60" s="656"/>
      <c r="M60" s="657"/>
      <c r="N60" s="651" t="s">
        <v>51</v>
      </c>
      <c r="O60" s="651" t="s">
        <v>36</v>
      </c>
      <c r="P60" s="651" t="s">
        <v>475</v>
      </c>
      <c r="Q60" s="80"/>
      <c r="R60" s="673" t="s">
        <v>148</v>
      </c>
      <c r="S60" s="673" t="s">
        <v>148</v>
      </c>
      <c r="T60" s="693" t="s">
        <v>148</v>
      </c>
      <c r="U60" s="673" t="s">
        <v>148</v>
      </c>
      <c r="V60" s="673" t="s">
        <v>148</v>
      </c>
      <c r="W60" s="694">
        <v>0</v>
      </c>
      <c r="X60" s="673">
        <v>0</v>
      </c>
      <c r="Y60" s="694">
        <v>0</v>
      </c>
      <c r="Z60" s="694">
        <v>0</v>
      </c>
      <c r="AA60" s="673" t="s">
        <v>148</v>
      </c>
      <c r="AB60" s="673" t="s">
        <v>148</v>
      </c>
      <c r="AC60" s="673" t="s">
        <v>148</v>
      </c>
      <c r="AD60" s="693" t="s">
        <v>148</v>
      </c>
      <c r="AE60" s="693" t="s">
        <v>148</v>
      </c>
      <c r="AF60" s="673" t="s">
        <v>148</v>
      </c>
      <c r="AG60" s="673" t="s">
        <v>148</v>
      </c>
    </row>
    <row r="61" spans="1:33" ht="92.1" customHeight="1" x14ac:dyDescent="0.25">
      <c r="A61" s="674">
        <f t="shared" si="2"/>
        <v>37</v>
      </c>
      <c r="B61" s="651" t="s">
        <v>476</v>
      </c>
      <c r="C61" s="652">
        <v>44121634</v>
      </c>
      <c r="D61" s="653" t="s">
        <v>479</v>
      </c>
      <c r="E61" s="651" t="s">
        <v>48</v>
      </c>
      <c r="F61" s="651">
        <v>1</v>
      </c>
      <c r="G61" s="654" t="s">
        <v>78</v>
      </c>
      <c r="H61" s="655" t="s">
        <v>156</v>
      </c>
      <c r="I61" s="651" t="s">
        <v>55</v>
      </c>
      <c r="J61" s="651" t="s">
        <v>35</v>
      </c>
      <c r="K61" s="651" t="s">
        <v>41</v>
      </c>
      <c r="L61" s="656"/>
      <c r="M61" s="657"/>
      <c r="N61" s="651" t="s">
        <v>51</v>
      </c>
      <c r="O61" s="651" t="s">
        <v>36</v>
      </c>
      <c r="P61" s="651" t="s">
        <v>475</v>
      </c>
      <c r="Q61" s="80"/>
      <c r="R61" s="673" t="s">
        <v>148</v>
      </c>
      <c r="S61" s="673" t="s">
        <v>148</v>
      </c>
      <c r="T61" s="693" t="s">
        <v>148</v>
      </c>
      <c r="U61" s="673" t="s">
        <v>148</v>
      </c>
      <c r="V61" s="673" t="s">
        <v>148</v>
      </c>
      <c r="W61" s="694">
        <v>0</v>
      </c>
      <c r="X61" s="673">
        <v>0</v>
      </c>
      <c r="Y61" s="694">
        <v>0</v>
      </c>
      <c r="Z61" s="694">
        <v>0</v>
      </c>
      <c r="AA61" s="673" t="s">
        <v>148</v>
      </c>
      <c r="AB61" s="673" t="s">
        <v>148</v>
      </c>
      <c r="AC61" s="673" t="s">
        <v>148</v>
      </c>
      <c r="AD61" s="693" t="s">
        <v>148</v>
      </c>
      <c r="AE61" s="693" t="s">
        <v>148</v>
      </c>
      <c r="AF61" s="673" t="s">
        <v>148</v>
      </c>
      <c r="AG61" s="673" t="s">
        <v>148</v>
      </c>
    </row>
    <row r="62" spans="1:33" ht="92.1" customHeight="1" x14ac:dyDescent="0.25">
      <c r="A62" s="674">
        <f t="shared" si="2"/>
        <v>38</v>
      </c>
      <c r="B62" s="651" t="s">
        <v>476</v>
      </c>
      <c r="C62" s="652">
        <v>44122003</v>
      </c>
      <c r="D62" s="653" t="s">
        <v>480</v>
      </c>
      <c r="E62" s="651" t="s">
        <v>48</v>
      </c>
      <c r="F62" s="651">
        <v>1</v>
      </c>
      <c r="G62" s="654" t="s">
        <v>78</v>
      </c>
      <c r="H62" s="655" t="s">
        <v>156</v>
      </c>
      <c r="I62" s="651" t="s">
        <v>53</v>
      </c>
      <c r="J62" s="651" t="s">
        <v>35</v>
      </c>
      <c r="K62" s="651" t="s">
        <v>41</v>
      </c>
      <c r="L62" s="656"/>
      <c r="M62" s="657"/>
      <c r="N62" s="651" t="s">
        <v>51</v>
      </c>
      <c r="O62" s="651" t="s">
        <v>36</v>
      </c>
      <c r="P62" s="651" t="s">
        <v>475</v>
      </c>
      <c r="Q62" s="80"/>
      <c r="R62" s="673" t="s">
        <v>148</v>
      </c>
      <c r="S62" s="673" t="s">
        <v>148</v>
      </c>
      <c r="T62" s="693" t="s">
        <v>148</v>
      </c>
      <c r="U62" s="673" t="s">
        <v>148</v>
      </c>
      <c r="V62" s="673" t="s">
        <v>148</v>
      </c>
      <c r="W62" s="694">
        <v>0</v>
      </c>
      <c r="X62" s="673">
        <v>0</v>
      </c>
      <c r="Y62" s="694">
        <v>0</v>
      </c>
      <c r="Z62" s="694">
        <v>0</v>
      </c>
      <c r="AA62" s="673" t="s">
        <v>148</v>
      </c>
      <c r="AB62" s="673" t="s">
        <v>148</v>
      </c>
      <c r="AC62" s="673" t="s">
        <v>148</v>
      </c>
      <c r="AD62" s="693" t="s">
        <v>148</v>
      </c>
      <c r="AE62" s="693" t="s">
        <v>148</v>
      </c>
      <c r="AF62" s="673" t="s">
        <v>148</v>
      </c>
      <c r="AG62" s="673" t="s">
        <v>148</v>
      </c>
    </row>
    <row r="63" spans="1:33" ht="92.1" customHeight="1" x14ac:dyDescent="0.25">
      <c r="A63" s="674">
        <f t="shared" si="2"/>
        <v>39</v>
      </c>
      <c r="B63" s="651" t="s">
        <v>476</v>
      </c>
      <c r="C63" s="652">
        <v>44111515</v>
      </c>
      <c r="D63" s="653" t="s">
        <v>481</v>
      </c>
      <c r="E63" s="651" t="s">
        <v>48</v>
      </c>
      <c r="F63" s="651">
        <v>1</v>
      </c>
      <c r="G63" s="654" t="s">
        <v>78</v>
      </c>
      <c r="H63" s="655" t="s">
        <v>156</v>
      </c>
      <c r="I63" s="651" t="s">
        <v>53</v>
      </c>
      <c r="J63" s="651" t="s">
        <v>35</v>
      </c>
      <c r="K63" s="651" t="s">
        <v>41</v>
      </c>
      <c r="L63" s="656"/>
      <c r="M63" s="657"/>
      <c r="N63" s="651" t="s">
        <v>51</v>
      </c>
      <c r="O63" s="651" t="s">
        <v>36</v>
      </c>
      <c r="P63" s="651" t="s">
        <v>475</v>
      </c>
      <c r="Q63" s="80"/>
      <c r="R63" s="673" t="s">
        <v>148</v>
      </c>
      <c r="S63" s="673" t="s">
        <v>148</v>
      </c>
      <c r="T63" s="693" t="s">
        <v>148</v>
      </c>
      <c r="U63" s="673" t="s">
        <v>148</v>
      </c>
      <c r="V63" s="673" t="s">
        <v>148</v>
      </c>
      <c r="W63" s="694">
        <v>0</v>
      </c>
      <c r="X63" s="673">
        <v>0</v>
      </c>
      <c r="Y63" s="694">
        <v>0</v>
      </c>
      <c r="Z63" s="694">
        <v>0</v>
      </c>
      <c r="AA63" s="673" t="s">
        <v>148</v>
      </c>
      <c r="AB63" s="673" t="s">
        <v>148</v>
      </c>
      <c r="AC63" s="673" t="s">
        <v>148</v>
      </c>
      <c r="AD63" s="693" t="s">
        <v>148</v>
      </c>
      <c r="AE63" s="693" t="s">
        <v>148</v>
      </c>
      <c r="AF63" s="673" t="s">
        <v>148</v>
      </c>
      <c r="AG63" s="673" t="s">
        <v>148</v>
      </c>
    </row>
    <row r="64" spans="1:33" ht="141" customHeight="1" x14ac:dyDescent="0.25">
      <c r="A64" s="890">
        <f t="shared" si="2"/>
        <v>40</v>
      </c>
      <c r="B64" s="902" t="s">
        <v>482</v>
      </c>
      <c r="C64" s="908" t="s">
        <v>1408</v>
      </c>
      <c r="D64" s="902" t="s">
        <v>197</v>
      </c>
      <c r="E64" s="902" t="s">
        <v>48</v>
      </c>
      <c r="F64" s="902">
        <v>1</v>
      </c>
      <c r="G64" s="909" t="s">
        <v>75</v>
      </c>
      <c r="H64" s="918">
        <v>10</v>
      </c>
      <c r="I64" s="902" t="s">
        <v>173</v>
      </c>
      <c r="J64" s="758" t="s">
        <v>35</v>
      </c>
      <c r="K64" s="758" t="s">
        <v>42</v>
      </c>
      <c r="L64" s="717">
        <v>1020000</v>
      </c>
      <c r="M64" s="717">
        <v>1020000</v>
      </c>
      <c r="N64" s="902" t="s">
        <v>51</v>
      </c>
      <c r="O64" s="902" t="s">
        <v>36</v>
      </c>
      <c r="P64" s="902" t="s">
        <v>319</v>
      </c>
      <c r="Q64" s="80"/>
      <c r="R64" s="665" t="s">
        <v>1416</v>
      </c>
      <c r="S64" s="665" t="s">
        <v>1417</v>
      </c>
      <c r="T64" s="691">
        <v>43182</v>
      </c>
      <c r="U64" s="665" t="s">
        <v>1418</v>
      </c>
      <c r="V64" s="665" t="s">
        <v>1226</v>
      </c>
      <c r="W64" s="692">
        <v>1019412.07</v>
      </c>
      <c r="X64" s="665">
        <v>0</v>
      </c>
      <c r="Y64" s="692">
        <v>1019412.07</v>
      </c>
      <c r="Z64" s="692">
        <v>1019412.07</v>
      </c>
      <c r="AA64" s="665" t="s">
        <v>1419</v>
      </c>
      <c r="AB64" s="665">
        <v>17618</v>
      </c>
      <c r="AC64" s="665" t="s">
        <v>1420</v>
      </c>
      <c r="AD64" s="691">
        <v>43182</v>
      </c>
      <c r="AE64" s="691">
        <v>43465</v>
      </c>
      <c r="AF64" s="665" t="s">
        <v>1421</v>
      </c>
      <c r="AG64" s="665" t="s">
        <v>823</v>
      </c>
    </row>
    <row r="65" spans="1:33" ht="141" customHeight="1" x14ac:dyDescent="0.25">
      <c r="A65" s="906"/>
      <c r="B65" s="907"/>
      <c r="C65" s="908"/>
      <c r="D65" s="907"/>
      <c r="E65" s="907"/>
      <c r="F65" s="907"/>
      <c r="G65" s="910"/>
      <c r="H65" s="919"/>
      <c r="I65" s="907"/>
      <c r="J65" s="758" t="s">
        <v>35</v>
      </c>
      <c r="K65" s="758" t="s">
        <v>42</v>
      </c>
      <c r="L65" s="717">
        <v>3500000</v>
      </c>
      <c r="M65" s="717">
        <v>3500000</v>
      </c>
      <c r="N65" s="907"/>
      <c r="O65" s="907"/>
      <c r="P65" s="907"/>
      <c r="Q65" s="80"/>
      <c r="R65" s="665" t="s">
        <v>1422</v>
      </c>
      <c r="S65" s="665" t="s">
        <v>1423</v>
      </c>
      <c r="T65" s="691">
        <v>43182</v>
      </c>
      <c r="U65" s="665" t="s">
        <v>1418</v>
      </c>
      <c r="V65" s="665" t="s">
        <v>1226</v>
      </c>
      <c r="W65" s="692">
        <v>3409502.09</v>
      </c>
      <c r="X65" s="665">
        <v>0</v>
      </c>
      <c r="Y65" s="692">
        <v>3409502.09</v>
      </c>
      <c r="Z65" s="692">
        <v>3409502.09</v>
      </c>
      <c r="AA65" s="665" t="s">
        <v>1419</v>
      </c>
      <c r="AB65" s="665">
        <v>17618</v>
      </c>
      <c r="AC65" s="665" t="s">
        <v>1420</v>
      </c>
      <c r="AD65" s="691">
        <v>43182</v>
      </c>
      <c r="AE65" s="691">
        <v>43465</v>
      </c>
      <c r="AF65" s="665" t="s">
        <v>1424</v>
      </c>
      <c r="AG65" s="665" t="s">
        <v>823</v>
      </c>
    </row>
    <row r="66" spans="1:33" ht="141" customHeight="1" x14ac:dyDescent="0.25">
      <c r="A66" s="906"/>
      <c r="B66" s="907"/>
      <c r="C66" s="908"/>
      <c r="D66" s="907"/>
      <c r="E66" s="907"/>
      <c r="F66" s="907"/>
      <c r="G66" s="910"/>
      <c r="H66" s="919"/>
      <c r="I66" s="907"/>
      <c r="J66" s="758" t="s">
        <v>35</v>
      </c>
      <c r="K66" s="758" t="s">
        <v>42</v>
      </c>
      <c r="L66" s="717">
        <v>7100000</v>
      </c>
      <c r="M66" s="717">
        <v>7100000</v>
      </c>
      <c r="N66" s="907"/>
      <c r="O66" s="907"/>
      <c r="P66" s="907"/>
      <c r="Q66" s="80"/>
      <c r="R66" s="665" t="s">
        <v>1425</v>
      </c>
      <c r="S66" s="665" t="s">
        <v>1426</v>
      </c>
      <c r="T66" s="691">
        <v>43182</v>
      </c>
      <c r="U66" s="665" t="s">
        <v>1418</v>
      </c>
      <c r="V66" s="665" t="s">
        <v>1226</v>
      </c>
      <c r="W66" s="692">
        <v>7025760</v>
      </c>
      <c r="X66" s="665">
        <v>0</v>
      </c>
      <c r="Y66" s="692">
        <v>7025760</v>
      </c>
      <c r="Z66" s="692">
        <v>7025760</v>
      </c>
      <c r="AA66" s="665" t="s">
        <v>1419</v>
      </c>
      <c r="AB66" s="665">
        <v>17618</v>
      </c>
      <c r="AC66" s="665" t="s">
        <v>1420</v>
      </c>
      <c r="AD66" s="691">
        <v>43182</v>
      </c>
      <c r="AE66" s="691">
        <v>43465</v>
      </c>
      <c r="AF66" s="665" t="s">
        <v>1427</v>
      </c>
      <c r="AG66" s="665" t="s">
        <v>823</v>
      </c>
    </row>
    <row r="67" spans="1:33" ht="141" customHeight="1" x14ac:dyDescent="0.25">
      <c r="A67" s="906"/>
      <c r="B67" s="907"/>
      <c r="C67" s="908"/>
      <c r="D67" s="907"/>
      <c r="E67" s="907"/>
      <c r="F67" s="907"/>
      <c r="G67" s="910"/>
      <c r="H67" s="919"/>
      <c r="I67" s="907"/>
      <c r="J67" s="758" t="s">
        <v>35</v>
      </c>
      <c r="K67" s="758" t="s">
        <v>42</v>
      </c>
      <c r="L67" s="717">
        <v>2166666</v>
      </c>
      <c r="M67" s="717">
        <v>2166666</v>
      </c>
      <c r="N67" s="907"/>
      <c r="O67" s="907"/>
      <c r="P67" s="907"/>
      <c r="Q67" s="80"/>
      <c r="R67" s="665" t="s">
        <v>1428</v>
      </c>
      <c r="S67" s="665" t="s">
        <v>1429</v>
      </c>
      <c r="T67" s="691">
        <v>43182</v>
      </c>
      <c r="U67" s="665" t="s">
        <v>1418</v>
      </c>
      <c r="V67" s="665" t="s">
        <v>1226</v>
      </c>
      <c r="W67" s="692">
        <v>2165090.7599999998</v>
      </c>
      <c r="X67" s="665">
        <v>0</v>
      </c>
      <c r="Y67" s="692">
        <v>2165090.7599999998</v>
      </c>
      <c r="Z67" s="692">
        <v>2165090.7599999998</v>
      </c>
      <c r="AA67" s="665" t="s">
        <v>1419</v>
      </c>
      <c r="AB67" s="665">
        <v>17618</v>
      </c>
      <c r="AC67" s="665" t="s">
        <v>1420</v>
      </c>
      <c r="AD67" s="691">
        <v>43182</v>
      </c>
      <c r="AE67" s="691">
        <v>43465</v>
      </c>
      <c r="AF67" s="665" t="s">
        <v>1427</v>
      </c>
      <c r="AG67" s="665" t="s">
        <v>823</v>
      </c>
    </row>
    <row r="68" spans="1:33" ht="141" customHeight="1" x14ac:dyDescent="0.25">
      <c r="A68" s="906"/>
      <c r="B68" s="907"/>
      <c r="C68" s="908"/>
      <c r="D68" s="907"/>
      <c r="E68" s="907"/>
      <c r="F68" s="907"/>
      <c r="G68" s="910"/>
      <c r="H68" s="919"/>
      <c r="I68" s="907"/>
      <c r="J68" s="758" t="s">
        <v>35</v>
      </c>
      <c r="K68" s="758" t="s">
        <v>42</v>
      </c>
      <c r="L68" s="717">
        <v>652000</v>
      </c>
      <c r="M68" s="717">
        <v>652000</v>
      </c>
      <c r="N68" s="907"/>
      <c r="O68" s="907"/>
      <c r="P68" s="907"/>
      <c r="Q68" s="80"/>
      <c r="R68" s="665" t="s">
        <v>1430</v>
      </c>
      <c r="S68" s="665" t="s">
        <v>1431</v>
      </c>
      <c r="T68" s="691">
        <v>43182</v>
      </c>
      <c r="U68" s="665" t="s">
        <v>1418</v>
      </c>
      <c r="V68" s="665" t="s">
        <v>1226</v>
      </c>
      <c r="W68" s="692">
        <v>651289.38</v>
      </c>
      <c r="X68" s="665">
        <v>0</v>
      </c>
      <c r="Y68" s="692">
        <v>651289.38</v>
      </c>
      <c r="Z68" s="692">
        <v>651289.38</v>
      </c>
      <c r="AA68" s="665" t="s">
        <v>1419</v>
      </c>
      <c r="AB68" s="665">
        <v>17618</v>
      </c>
      <c r="AC68" s="665" t="s">
        <v>1420</v>
      </c>
      <c r="AD68" s="691">
        <v>43182</v>
      </c>
      <c r="AE68" s="691">
        <v>43465</v>
      </c>
      <c r="AF68" s="665" t="s">
        <v>1427</v>
      </c>
      <c r="AG68" s="665" t="s">
        <v>823</v>
      </c>
    </row>
    <row r="69" spans="1:33" ht="141" customHeight="1" x14ac:dyDescent="0.25">
      <c r="A69" s="906"/>
      <c r="B69" s="907"/>
      <c r="C69" s="902"/>
      <c r="D69" s="907"/>
      <c r="E69" s="907"/>
      <c r="F69" s="907"/>
      <c r="G69" s="910"/>
      <c r="H69" s="919"/>
      <c r="I69" s="907"/>
      <c r="J69" s="758" t="s">
        <v>35</v>
      </c>
      <c r="K69" s="758" t="s">
        <v>42</v>
      </c>
      <c r="L69" s="717">
        <v>451000</v>
      </c>
      <c r="M69" s="717">
        <v>451000</v>
      </c>
      <c r="N69" s="903"/>
      <c r="O69" s="903"/>
      <c r="P69" s="903"/>
      <c r="Q69" s="80"/>
      <c r="R69" s="665" t="s">
        <v>1462</v>
      </c>
      <c r="S69" s="665" t="s">
        <v>1461</v>
      </c>
      <c r="T69" s="691">
        <v>43203</v>
      </c>
      <c r="U69" s="665" t="s">
        <v>1460</v>
      </c>
      <c r="V69" s="665" t="s">
        <v>1226</v>
      </c>
      <c r="W69" s="692">
        <v>450000</v>
      </c>
      <c r="X69" s="665">
        <v>0</v>
      </c>
      <c r="Y69" s="692">
        <v>450000</v>
      </c>
      <c r="Z69" s="692">
        <v>450000</v>
      </c>
      <c r="AA69" s="665" t="s">
        <v>1459</v>
      </c>
      <c r="AB69" s="665">
        <v>17618</v>
      </c>
      <c r="AC69" s="665" t="s">
        <v>1458</v>
      </c>
      <c r="AD69" s="691">
        <v>43213</v>
      </c>
      <c r="AE69" s="691">
        <v>43462</v>
      </c>
      <c r="AF69" s="665" t="s">
        <v>1457</v>
      </c>
      <c r="AG69" s="665" t="s">
        <v>823</v>
      </c>
    </row>
    <row r="70" spans="1:33" ht="288.95" customHeight="1" x14ac:dyDescent="0.25">
      <c r="A70" s="891"/>
      <c r="B70" s="587" t="s">
        <v>1514</v>
      </c>
      <c r="C70" s="589" t="s">
        <v>1408</v>
      </c>
      <c r="D70" s="589" t="s">
        <v>1515</v>
      </c>
      <c r="E70" s="589" t="s">
        <v>48</v>
      </c>
      <c r="F70" s="589">
        <v>1</v>
      </c>
      <c r="G70" s="590" t="s">
        <v>81</v>
      </c>
      <c r="H70" s="591" t="s">
        <v>294</v>
      </c>
      <c r="I70" s="589" t="s">
        <v>173</v>
      </c>
      <c r="J70" s="587" t="s">
        <v>35</v>
      </c>
      <c r="K70" s="587" t="s">
        <v>42</v>
      </c>
      <c r="L70" s="718">
        <v>9278945.6999999993</v>
      </c>
      <c r="M70" s="718">
        <v>9278945.6999999993</v>
      </c>
      <c r="N70" s="721" t="s">
        <v>51</v>
      </c>
      <c r="O70" s="721" t="s">
        <v>36</v>
      </c>
      <c r="P70" s="721" t="s">
        <v>1501</v>
      </c>
      <c r="Q70" s="80"/>
      <c r="R70" s="715"/>
      <c r="S70" s="673"/>
      <c r="T70" s="693"/>
      <c r="U70" s="673"/>
      <c r="V70" s="673"/>
      <c r="W70" s="694"/>
      <c r="X70" s="715"/>
      <c r="Y70" s="719"/>
      <c r="Z70" s="719"/>
      <c r="AA70" s="715"/>
      <c r="AB70" s="715"/>
      <c r="AC70" s="715"/>
      <c r="AD70" s="720"/>
      <c r="AE70" s="720"/>
      <c r="AF70" s="715"/>
      <c r="AG70" s="715"/>
    </row>
    <row r="71" spans="1:33" ht="152.1" customHeight="1" x14ac:dyDescent="0.25">
      <c r="A71" s="658">
        <f>SUM(A64+1)</f>
        <v>41</v>
      </c>
      <c r="B71" s="759" t="s">
        <v>482</v>
      </c>
      <c r="C71" s="659">
        <v>85122201</v>
      </c>
      <c r="D71" s="660" t="s">
        <v>1516</v>
      </c>
      <c r="E71" s="759" t="s">
        <v>48</v>
      </c>
      <c r="F71" s="759">
        <v>1</v>
      </c>
      <c r="G71" s="661" t="s">
        <v>75</v>
      </c>
      <c r="H71" s="662">
        <v>10</v>
      </c>
      <c r="I71" s="759" t="s">
        <v>55</v>
      </c>
      <c r="J71" s="759" t="s">
        <v>35</v>
      </c>
      <c r="K71" s="759" t="s">
        <v>43</v>
      </c>
      <c r="L71" s="663">
        <v>10075000</v>
      </c>
      <c r="M71" s="664">
        <v>10075000</v>
      </c>
      <c r="N71" s="759" t="s">
        <v>51</v>
      </c>
      <c r="O71" s="759" t="s">
        <v>36</v>
      </c>
      <c r="P71" s="759" t="s">
        <v>319</v>
      </c>
      <c r="Q71" s="80"/>
      <c r="R71" s="665" t="s">
        <v>1432</v>
      </c>
      <c r="S71" s="665" t="s">
        <v>1433</v>
      </c>
      <c r="T71" s="691">
        <v>43175</v>
      </c>
      <c r="U71" s="665" t="s">
        <v>1434</v>
      </c>
      <c r="V71" s="665" t="s">
        <v>657</v>
      </c>
      <c r="W71" s="692">
        <v>8427000</v>
      </c>
      <c r="X71" s="665">
        <v>0</v>
      </c>
      <c r="Y71" s="692">
        <v>8427000</v>
      </c>
      <c r="Z71" s="692">
        <v>8427000</v>
      </c>
      <c r="AA71" s="665" t="s">
        <v>1435</v>
      </c>
      <c r="AB71" s="665">
        <v>19518</v>
      </c>
      <c r="AC71" s="665" t="s">
        <v>1436</v>
      </c>
      <c r="AD71" s="691">
        <v>43182</v>
      </c>
      <c r="AE71" s="691">
        <v>43462</v>
      </c>
      <c r="AF71" s="665" t="s">
        <v>1424</v>
      </c>
      <c r="AG71" s="665" t="s">
        <v>823</v>
      </c>
    </row>
    <row r="72" spans="1:33" ht="86.45" customHeight="1" x14ac:dyDescent="0.25">
      <c r="A72" s="674">
        <f t="shared" ref="A72:A91" si="3">SUM(A71+1)</f>
        <v>42</v>
      </c>
      <c r="B72" s="587" t="s">
        <v>482</v>
      </c>
      <c r="C72" s="755">
        <v>78111803</v>
      </c>
      <c r="D72" s="589" t="s">
        <v>1517</v>
      </c>
      <c r="E72" s="587" t="s">
        <v>48</v>
      </c>
      <c r="F72" s="587">
        <v>1</v>
      </c>
      <c r="G72" s="590" t="s">
        <v>77</v>
      </c>
      <c r="H72" s="591" t="s">
        <v>156</v>
      </c>
      <c r="I72" s="666" t="s">
        <v>55</v>
      </c>
      <c r="J72" s="666" t="s">
        <v>35</v>
      </c>
      <c r="K72" s="666" t="s">
        <v>43</v>
      </c>
      <c r="L72" s="671">
        <v>15000000</v>
      </c>
      <c r="M72" s="672">
        <v>15000000</v>
      </c>
      <c r="N72" s="666" t="s">
        <v>51</v>
      </c>
      <c r="O72" s="666" t="s">
        <v>36</v>
      </c>
      <c r="P72" s="666" t="s">
        <v>319</v>
      </c>
      <c r="Q72" s="80"/>
      <c r="R72" s="673" t="s">
        <v>148</v>
      </c>
      <c r="S72" s="673" t="s">
        <v>148</v>
      </c>
      <c r="T72" s="693" t="s">
        <v>148</v>
      </c>
      <c r="U72" s="673" t="s">
        <v>148</v>
      </c>
      <c r="V72" s="673" t="s">
        <v>148</v>
      </c>
      <c r="W72" s="694">
        <v>0</v>
      </c>
      <c r="X72" s="673">
        <v>0</v>
      </c>
      <c r="Y72" s="694">
        <v>0</v>
      </c>
      <c r="Z72" s="694">
        <v>0</v>
      </c>
      <c r="AA72" s="673" t="s">
        <v>148</v>
      </c>
      <c r="AB72" s="673" t="s">
        <v>148</v>
      </c>
      <c r="AC72" s="673" t="s">
        <v>148</v>
      </c>
      <c r="AD72" s="693" t="s">
        <v>148</v>
      </c>
      <c r="AE72" s="693" t="s">
        <v>148</v>
      </c>
      <c r="AF72" s="673" t="s">
        <v>148</v>
      </c>
      <c r="AG72" s="673" t="s">
        <v>148</v>
      </c>
    </row>
    <row r="73" spans="1:33" ht="69" customHeight="1" x14ac:dyDescent="0.25">
      <c r="A73" s="674">
        <f t="shared" si="3"/>
        <v>43</v>
      </c>
      <c r="B73" s="587" t="s">
        <v>482</v>
      </c>
      <c r="C73" s="755" t="s">
        <v>72</v>
      </c>
      <c r="D73" s="589" t="s">
        <v>65</v>
      </c>
      <c r="E73" s="587" t="s">
        <v>48</v>
      </c>
      <c r="F73" s="587">
        <v>1</v>
      </c>
      <c r="G73" s="590" t="s">
        <v>180</v>
      </c>
      <c r="H73" s="591" t="s">
        <v>156</v>
      </c>
      <c r="I73" s="666" t="s">
        <v>55</v>
      </c>
      <c r="J73" s="666" t="s">
        <v>35</v>
      </c>
      <c r="K73" s="666" t="s">
        <v>45</v>
      </c>
      <c r="L73" s="671">
        <v>17000000</v>
      </c>
      <c r="M73" s="672">
        <v>17000000</v>
      </c>
      <c r="N73" s="666" t="s">
        <v>51</v>
      </c>
      <c r="O73" s="666" t="s">
        <v>36</v>
      </c>
      <c r="P73" s="666" t="s">
        <v>319</v>
      </c>
      <c r="Q73" s="80"/>
      <c r="R73" s="673" t="s">
        <v>148</v>
      </c>
      <c r="S73" s="673" t="s">
        <v>148</v>
      </c>
      <c r="T73" s="693" t="s">
        <v>148</v>
      </c>
      <c r="U73" s="673" t="s">
        <v>148</v>
      </c>
      <c r="V73" s="673" t="s">
        <v>148</v>
      </c>
      <c r="W73" s="694">
        <v>0</v>
      </c>
      <c r="X73" s="673">
        <v>0</v>
      </c>
      <c r="Y73" s="694">
        <v>0</v>
      </c>
      <c r="Z73" s="694">
        <v>0</v>
      </c>
      <c r="AA73" s="673" t="s">
        <v>148</v>
      </c>
      <c r="AB73" s="673" t="s">
        <v>148</v>
      </c>
      <c r="AC73" s="673" t="s">
        <v>148</v>
      </c>
      <c r="AD73" s="693" t="s">
        <v>148</v>
      </c>
      <c r="AE73" s="693" t="s">
        <v>148</v>
      </c>
      <c r="AF73" s="673" t="s">
        <v>148</v>
      </c>
      <c r="AG73" s="673" t="s">
        <v>148</v>
      </c>
    </row>
    <row r="74" spans="1:33" ht="186.75" customHeight="1" x14ac:dyDescent="0.25">
      <c r="A74" s="586">
        <f t="shared" si="3"/>
        <v>44</v>
      </c>
      <c r="B74" s="587" t="s">
        <v>483</v>
      </c>
      <c r="C74" s="755" t="s">
        <v>67</v>
      </c>
      <c r="D74" s="589" t="s">
        <v>584</v>
      </c>
      <c r="E74" s="587" t="s">
        <v>48</v>
      </c>
      <c r="F74" s="587">
        <v>1</v>
      </c>
      <c r="G74" s="590" t="s">
        <v>81</v>
      </c>
      <c r="H74" s="591" t="s">
        <v>232</v>
      </c>
      <c r="I74" s="587" t="s">
        <v>55</v>
      </c>
      <c r="J74" s="666" t="s">
        <v>35</v>
      </c>
      <c r="K74" s="666" t="s">
        <v>43</v>
      </c>
      <c r="L74" s="671">
        <v>5000000</v>
      </c>
      <c r="M74" s="672">
        <v>5000000</v>
      </c>
      <c r="N74" s="666" t="s">
        <v>51</v>
      </c>
      <c r="O74" s="666" t="s">
        <v>36</v>
      </c>
      <c r="P74" s="666" t="s">
        <v>319</v>
      </c>
      <c r="Q74" s="80"/>
      <c r="R74" s="673" t="s">
        <v>148</v>
      </c>
      <c r="S74" s="673" t="s">
        <v>148</v>
      </c>
      <c r="T74" s="693" t="s">
        <v>148</v>
      </c>
      <c r="U74" s="673" t="s">
        <v>148</v>
      </c>
      <c r="V74" s="673" t="s">
        <v>148</v>
      </c>
      <c r="W74" s="694">
        <v>0</v>
      </c>
      <c r="X74" s="673">
        <v>0</v>
      </c>
      <c r="Y74" s="694">
        <v>0</v>
      </c>
      <c r="Z74" s="694">
        <v>0</v>
      </c>
      <c r="AA74" s="673" t="s">
        <v>148</v>
      </c>
      <c r="AB74" s="673" t="s">
        <v>148</v>
      </c>
      <c r="AC74" s="673" t="s">
        <v>148</v>
      </c>
      <c r="AD74" s="693" t="s">
        <v>148</v>
      </c>
      <c r="AE74" s="693" t="s">
        <v>148</v>
      </c>
      <c r="AF74" s="673" t="s">
        <v>148</v>
      </c>
      <c r="AG74" s="673" t="s">
        <v>148</v>
      </c>
    </row>
    <row r="75" spans="1:33" ht="171" customHeight="1" x14ac:dyDescent="0.25">
      <c r="A75" s="658">
        <f t="shared" si="3"/>
        <v>45</v>
      </c>
      <c r="B75" s="759" t="s">
        <v>198</v>
      </c>
      <c r="C75" s="659">
        <v>60106600</v>
      </c>
      <c r="D75" s="660" t="s">
        <v>646</v>
      </c>
      <c r="E75" s="759" t="s">
        <v>48</v>
      </c>
      <c r="F75" s="759">
        <v>1</v>
      </c>
      <c r="G75" s="661" t="s">
        <v>81</v>
      </c>
      <c r="H75" s="662" t="s">
        <v>156</v>
      </c>
      <c r="I75" s="759" t="s">
        <v>61</v>
      </c>
      <c r="J75" s="759" t="s">
        <v>66</v>
      </c>
      <c r="K75" s="759" t="s">
        <v>601</v>
      </c>
      <c r="L75" s="663">
        <v>4000000</v>
      </c>
      <c r="M75" s="664">
        <v>4000000</v>
      </c>
      <c r="N75" s="759" t="s">
        <v>51</v>
      </c>
      <c r="O75" s="759" t="s">
        <v>36</v>
      </c>
      <c r="P75" s="759" t="s">
        <v>306</v>
      </c>
      <c r="Q75" s="80"/>
      <c r="R75" s="665" t="s">
        <v>683</v>
      </c>
      <c r="S75" s="665" t="s">
        <v>684</v>
      </c>
      <c r="T75" s="691">
        <v>43125</v>
      </c>
      <c r="U75" s="665" t="s">
        <v>685</v>
      </c>
      <c r="V75" s="665" t="s">
        <v>665</v>
      </c>
      <c r="W75" s="692">
        <v>1120000</v>
      </c>
      <c r="X75" s="665">
        <v>0</v>
      </c>
      <c r="Y75" s="692">
        <v>1120000</v>
      </c>
      <c r="Z75" s="692">
        <v>1120000</v>
      </c>
      <c r="AA75" s="665" t="s">
        <v>686</v>
      </c>
      <c r="AB75" s="665" t="s">
        <v>1269</v>
      </c>
      <c r="AC75" s="665" t="s">
        <v>687</v>
      </c>
      <c r="AD75" s="691">
        <v>43126</v>
      </c>
      <c r="AE75" s="691">
        <v>43156</v>
      </c>
      <c r="AF75" s="665" t="s">
        <v>688</v>
      </c>
      <c r="AG75" s="665" t="s">
        <v>689</v>
      </c>
    </row>
    <row r="76" spans="1:33" ht="92.1" customHeight="1" x14ac:dyDescent="0.25">
      <c r="A76" s="586">
        <f t="shared" si="3"/>
        <v>46</v>
      </c>
      <c r="B76" s="587" t="s">
        <v>198</v>
      </c>
      <c r="C76" s="755">
        <v>55101500</v>
      </c>
      <c r="D76" s="589" t="s">
        <v>647</v>
      </c>
      <c r="E76" s="587" t="s">
        <v>48</v>
      </c>
      <c r="F76" s="587">
        <v>1</v>
      </c>
      <c r="G76" s="590" t="s">
        <v>81</v>
      </c>
      <c r="H76" s="591" t="s">
        <v>156</v>
      </c>
      <c r="I76" s="587" t="s">
        <v>61</v>
      </c>
      <c r="J76" s="587" t="s">
        <v>66</v>
      </c>
      <c r="K76" s="587" t="s">
        <v>601</v>
      </c>
      <c r="L76" s="592">
        <v>28800000</v>
      </c>
      <c r="M76" s="593">
        <v>28800000</v>
      </c>
      <c r="N76" s="587" t="s">
        <v>51</v>
      </c>
      <c r="O76" s="587" t="s">
        <v>36</v>
      </c>
      <c r="P76" s="587" t="s">
        <v>306</v>
      </c>
      <c r="Q76" s="80"/>
      <c r="R76" s="673" t="s">
        <v>148</v>
      </c>
      <c r="S76" s="673" t="s">
        <v>148</v>
      </c>
      <c r="T76" s="693" t="s">
        <v>148</v>
      </c>
      <c r="U76" s="673" t="s">
        <v>148</v>
      </c>
      <c r="V76" s="673" t="s">
        <v>148</v>
      </c>
      <c r="W76" s="694">
        <v>0</v>
      </c>
      <c r="X76" s="673">
        <v>0</v>
      </c>
      <c r="Y76" s="694">
        <v>0</v>
      </c>
      <c r="Z76" s="694">
        <v>0</v>
      </c>
      <c r="AA76" s="673" t="s">
        <v>148</v>
      </c>
      <c r="AB76" s="673" t="s">
        <v>148</v>
      </c>
      <c r="AC76" s="673" t="s">
        <v>148</v>
      </c>
      <c r="AD76" s="693" t="s">
        <v>148</v>
      </c>
      <c r="AE76" s="693" t="s">
        <v>148</v>
      </c>
      <c r="AF76" s="673" t="s">
        <v>148</v>
      </c>
      <c r="AG76" s="673" t="s">
        <v>148</v>
      </c>
    </row>
    <row r="77" spans="1:33" ht="69" customHeight="1" x14ac:dyDescent="0.25">
      <c r="A77" s="586">
        <f t="shared" si="3"/>
        <v>47</v>
      </c>
      <c r="B77" s="587" t="s">
        <v>490</v>
      </c>
      <c r="C77" s="755">
        <v>81112502</v>
      </c>
      <c r="D77" s="589" t="s">
        <v>207</v>
      </c>
      <c r="E77" s="587" t="s">
        <v>48</v>
      </c>
      <c r="F77" s="587">
        <v>1</v>
      </c>
      <c r="G77" s="590" t="s">
        <v>77</v>
      </c>
      <c r="H77" s="591" t="s">
        <v>1761</v>
      </c>
      <c r="I77" s="587" t="s">
        <v>173</v>
      </c>
      <c r="J77" s="587" t="s">
        <v>35</v>
      </c>
      <c r="K77" s="587" t="s">
        <v>161</v>
      </c>
      <c r="L77" s="593">
        <v>700843400</v>
      </c>
      <c r="M77" s="593">
        <v>53910400</v>
      </c>
      <c r="N77" s="587" t="s">
        <v>49</v>
      </c>
      <c r="O77" s="587" t="s">
        <v>445</v>
      </c>
      <c r="P77" s="587" t="s">
        <v>308</v>
      </c>
      <c r="Q77" s="80"/>
      <c r="R77" s="673" t="s">
        <v>148</v>
      </c>
      <c r="S77" s="673" t="s">
        <v>148</v>
      </c>
      <c r="T77" s="693" t="s">
        <v>148</v>
      </c>
      <c r="U77" s="673" t="s">
        <v>148</v>
      </c>
      <c r="V77" s="673" t="s">
        <v>148</v>
      </c>
      <c r="W77" s="694">
        <v>0</v>
      </c>
      <c r="X77" s="673">
        <v>0</v>
      </c>
      <c r="Y77" s="694">
        <v>0</v>
      </c>
      <c r="Z77" s="694">
        <v>0</v>
      </c>
      <c r="AA77" s="673" t="s">
        <v>148</v>
      </c>
      <c r="AB77" s="673" t="s">
        <v>148</v>
      </c>
      <c r="AC77" s="673" t="s">
        <v>148</v>
      </c>
      <c r="AD77" s="693" t="s">
        <v>148</v>
      </c>
      <c r="AE77" s="693" t="s">
        <v>148</v>
      </c>
      <c r="AF77" s="673" t="s">
        <v>148</v>
      </c>
      <c r="AG77" s="673" t="s">
        <v>148</v>
      </c>
    </row>
    <row r="78" spans="1:33" ht="69" customHeight="1" x14ac:dyDescent="0.25">
      <c r="A78" s="586">
        <f t="shared" si="3"/>
        <v>48</v>
      </c>
      <c r="B78" s="587" t="s">
        <v>490</v>
      </c>
      <c r="C78" s="755">
        <v>43222815</v>
      </c>
      <c r="D78" s="589" t="s">
        <v>213</v>
      </c>
      <c r="E78" s="587" t="s">
        <v>48</v>
      </c>
      <c r="F78" s="587">
        <v>1</v>
      </c>
      <c r="G78" s="590" t="s">
        <v>77</v>
      </c>
      <c r="H78" s="591" t="s">
        <v>1760</v>
      </c>
      <c r="I78" s="587" t="s">
        <v>173</v>
      </c>
      <c r="J78" s="587" t="s">
        <v>35</v>
      </c>
      <c r="K78" s="587" t="s">
        <v>161</v>
      </c>
      <c r="L78" s="593">
        <v>657061000</v>
      </c>
      <c r="M78" s="593">
        <v>34146000</v>
      </c>
      <c r="N78" s="587" t="s">
        <v>49</v>
      </c>
      <c r="O78" s="587" t="s">
        <v>445</v>
      </c>
      <c r="P78" s="587" t="s">
        <v>308</v>
      </c>
      <c r="Q78" s="80"/>
      <c r="R78" s="673" t="s">
        <v>148</v>
      </c>
      <c r="S78" s="673" t="s">
        <v>148</v>
      </c>
      <c r="T78" s="693" t="s">
        <v>148</v>
      </c>
      <c r="U78" s="673" t="s">
        <v>148</v>
      </c>
      <c r="V78" s="673" t="s">
        <v>148</v>
      </c>
      <c r="W78" s="694">
        <v>0</v>
      </c>
      <c r="X78" s="673">
        <v>0</v>
      </c>
      <c r="Y78" s="694">
        <v>0</v>
      </c>
      <c r="Z78" s="694">
        <v>0</v>
      </c>
      <c r="AA78" s="673" t="s">
        <v>148</v>
      </c>
      <c r="AB78" s="673" t="s">
        <v>148</v>
      </c>
      <c r="AC78" s="673" t="s">
        <v>148</v>
      </c>
      <c r="AD78" s="693" t="s">
        <v>148</v>
      </c>
      <c r="AE78" s="693" t="s">
        <v>148</v>
      </c>
      <c r="AF78" s="673" t="s">
        <v>148</v>
      </c>
      <c r="AG78" s="673" t="s">
        <v>148</v>
      </c>
    </row>
    <row r="79" spans="1:33" ht="69" customHeight="1" x14ac:dyDescent="0.25">
      <c r="A79" s="586">
        <f t="shared" si="3"/>
        <v>49</v>
      </c>
      <c r="B79" s="587" t="s">
        <v>490</v>
      </c>
      <c r="C79" s="755">
        <v>93151502</v>
      </c>
      <c r="D79" s="589" t="s">
        <v>214</v>
      </c>
      <c r="E79" s="587" t="s">
        <v>48</v>
      </c>
      <c r="F79" s="587">
        <v>1</v>
      </c>
      <c r="G79" s="590" t="s">
        <v>77</v>
      </c>
      <c r="H79" s="591" t="s">
        <v>1760</v>
      </c>
      <c r="I79" s="587" t="s">
        <v>173</v>
      </c>
      <c r="J79" s="587" t="s">
        <v>35</v>
      </c>
      <c r="K79" s="587" t="s">
        <v>161</v>
      </c>
      <c r="L79" s="593">
        <v>1200000000</v>
      </c>
      <c r="M79" s="593">
        <v>90000000</v>
      </c>
      <c r="N79" s="587" t="s">
        <v>49</v>
      </c>
      <c r="O79" s="587" t="s">
        <v>445</v>
      </c>
      <c r="P79" s="587" t="s">
        <v>308</v>
      </c>
      <c r="Q79" s="80"/>
      <c r="R79" s="673" t="s">
        <v>148</v>
      </c>
      <c r="S79" s="673" t="s">
        <v>148</v>
      </c>
      <c r="T79" s="693" t="s">
        <v>148</v>
      </c>
      <c r="U79" s="673" t="s">
        <v>148</v>
      </c>
      <c r="V79" s="673" t="s">
        <v>148</v>
      </c>
      <c r="W79" s="694">
        <v>0</v>
      </c>
      <c r="X79" s="673">
        <v>0</v>
      </c>
      <c r="Y79" s="694">
        <v>0</v>
      </c>
      <c r="Z79" s="694">
        <v>0</v>
      </c>
      <c r="AA79" s="673" t="s">
        <v>148</v>
      </c>
      <c r="AB79" s="673" t="s">
        <v>148</v>
      </c>
      <c r="AC79" s="673" t="s">
        <v>148</v>
      </c>
      <c r="AD79" s="693" t="s">
        <v>148</v>
      </c>
      <c r="AE79" s="693" t="s">
        <v>148</v>
      </c>
      <c r="AF79" s="673" t="s">
        <v>148</v>
      </c>
      <c r="AG79" s="673" t="s">
        <v>148</v>
      </c>
    </row>
    <row r="80" spans="1:33" s="687" customFormat="1" ht="147" customHeight="1" x14ac:dyDescent="0.25">
      <c r="A80" s="658">
        <f t="shared" si="3"/>
        <v>50</v>
      </c>
      <c r="B80" s="759" t="s">
        <v>490</v>
      </c>
      <c r="C80" s="659">
        <v>81112006</v>
      </c>
      <c r="D80" s="660" t="s">
        <v>217</v>
      </c>
      <c r="E80" s="759" t="s">
        <v>48</v>
      </c>
      <c r="F80" s="759">
        <v>1</v>
      </c>
      <c r="G80" s="661" t="s">
        <v>80</v>
      </c>
      <c r="H80" s="662">
        <v>12</v>
      </c>
      <c r="I80" s="759" t="s">
        <v>55</v>
      </c>
      <c r="J80" s="759" t="s">
        <v>35</v>
      </c>
      <c r="K80" s="759" t="s">
        <v>216</v>
      </c>
      <c r="L80" s="663">
        <v>4286000</v>
      </c>
      <c r="M80" s="664">
        <v>4286000</v>
      </c>
      <c r="N80" s="759" t="s">
        <v>51</v>
      </c>
      <c r="O80" s="759" t="s">
        <v>36</v>
      </c>
      <c r="P80" s="759" t="s">
        <v>308</v>
      </c>
      <c r="Q80" s="80"/>
      <c r="R80" s="665" t="s">
        <v>1233</v>
      </c>
      <c r="S80" s="665" t="s">
        <v>1234</v>
      </c>
      <c r="T80" s="691">
        <v>43145</v>
      </c>
      <c r="U80" s="665" t="s">
        <v>1235</v>
      </c>
      <c r="V80" s="665" t="s">
        <v>657</v>
      </c>
      <c r="W80" s="692">
        <v>2168614</v>
      </c>
      <c r="X80" s="665">
        <v>0</v>
      </c>
      <c r="Y80" s="692">
        <v>2168614</v>
      </c>
      <c r="Z80" s="692">
        <v>2168614</v>
      </c>
      <c r="AA80" s="665" t="s">
        <v>1236</v>
      </c>
      <c r="AB80" s="665" t="s">
        <v>1270</v>
      </c>
      <c r="AC80" s="665" t="s">
        <v>1237</v>
      </c>
      <c r="AD80" s="691">
        <v>43146</v>
      </c>
      <c r="AE80" s="691">
        <v>43462</v>
      </c>
      <c r="AF80" s="665" t="s">
        <v>1238</v>
      </c>
      <c r="AG80" s="665" t="s">
        <v>890</v>
      </c>
    </row>
    <row r="81" spans="1:33" ht="92.1" customHeight="1" x14ac:dyDescent="0.25">
      <c r="A81" s="586">
        <f t="shared" si="3"/>
        <v>51</v>
      </c>
      <c r="B81" s="587" t="s">
        <v>490</v>
      </c>
      <c r="C81" s="755" t="s">
        <v>1564</v>
      </c>
      <c r="D81" s="589" t="s">
        <v>277</v>
      </c>
      <c r="E81" s="587" t="s">
        <v>48</v>
      </c>
      <c r="F81" s="587">
        <v>1</v>
      </c>
      <c r="G81" s="590" t="s">
        <v>79</v>
      </c>
      <c r="H81" s="591">
        <v>12</v>
      </c>
      <c r="I81" s="587" t="s">
        <v>285</v>
      </c>
      <c r="J81" s="587" t="s">
        <v>66</v>
      </c>
      <c r="K81" s="587" t="s">
        <v>583</v>
      </c>
      <c r="L81" s="592">
        <v>44044251</v>
      </c>
      <c r="M81" s="593">
        <v>44044251</v>
      </c>
      <c r="N81" s="587" t="s">
        <v>51</v>
      </c>
      <c r="O81" s="587" t="s">
        <v>36</v>
      </c>
      <c r="P81" s="587" t="s">
        <v>308</v>
      </c>
      <c r="Q81" s="80"/>
      <c r="R81" s="673" t="s">
        <v>148</v>
      </c>
      <c r="S81" s="673" t="s">
        <v>148</v>
      </c>
      <c r="T81" s="693" t="s">
        <v>148</v>
      </c>
      <c r="U81" s="673" t="s">
        <v>148</v>
      </c>
      <c r="V81" s="673" t="s">
        <v>148</v>
      </c>
      <c r="W81" s="694">
        <v>0</v>
      </c>
      <c r="X81" s="673">
        <v>0</v>
      </c>
      <c r="Y81" s="694">
        <v>0</v>
      </c>
      <c r="Z81" s="694">
        <v>0</v>
      </c>
      <c r="AA81" s="673" t="s">
        <v>148</v>
      </c>
      <c r="AB81" s="673" t="s">
        <v>148</v>
      </c>
      <c r="AC81" s="673" t="s">
        <v>148</v>
      </c>
      <c r="AD81" s="693" t="s">
        <v>148</v>
      </c>
      <c r="AE81" s="693" t="s">
        <v>148</v>
      </c>
      <c r="AF81" s="673" t="s">
        <v>148</v>
      </c>
      <c r="AG81" s="673" t="s">
        <v>148</v>
      </c>
    </row>
    <row r="82" spans="1:33" ht="209.1" customHeight="1" x14ac:dyDescent="0.25">
      <c r="A82" s="658">
        <f t="shared" si="3"/>
        <v>52</v>
      </c>
      <c r="B82" s="759" t="s">
        <v>490</v>
      </c>
      <c r="C82" s="659">
        <v>80101706</v>
      </c>
      <c r="D82" s="660" t="s">
        <v>596</v>
      </c>
      <c r="E82" s="759" t="s">
        <v>48</v>
      </c>
      <c r="F82" s="759">
        <v>1</v>
      </c>
      <c r="G82" s="661" t="s">
        <v>73</v>
      </c>
      <c r="H82" s="662">
        <v>12</v>
      </c>
      <c r="I82" s="759" t="s">
        <v>173</v>
      </c>
      <c r="J82" s="759" t="s">
        <v>66</v>
      </c>
      <c r="K82" s="759" t="s">
        <v>583</v>
      </c>
      <c r="L82" s="663">
        <v>232816852</v>
      </c>
      <c r="M82" s="663">
        <v>232816852</v>
      </c>
      <c r="N82" s="759" t="s">
        <v>51</v>
      </c>
      <c r="O82" s="759" t="s">
        <v>36</v>
      </c>
      <c r="P82" s="759" t="s">
        <v>308</v>
      </c>
      <c r="Q82" s="80"/>
      <c r="R82" s="665" t="s">
        <v>1244</v>
      </c>
      <c r="S82" s="665" t="s">
        <v>1245</v>
      </c>
      <c r="T82" s="691">
        <v>43147</v>
      </c>
      <c r="U82" s="665" t="s">
        <v>1246</v>
      </c>
      <c r="V82" s="665" t="s">
        <v>665</v>
      </c>
      <c r="W82" s="692">
        <v>222359431.53</v>
      </c>
      <c r="X82" s="665">
        <v>0</v>
      </c>
      <c r="Y82" s="692">
        <v>222359431.53</v>
      </c>
      <c r="Z82" s="692">
        <v>222359431.53</v>
      </c>
      <c r="AA82" s="665" t="s">
        <v>1247</v>
      </c>
      <c r="AB82" s="665" t="s">
        <v>1271</v>
      </c>
      <c r="AC82" s="665" t="s">
        <v>1248</v>
      </c>
      <c r="AD82" s="691">
        <v>43147</v>
      </c>
      <c r="AE82" s="691">
        <v>43511</v>
      </c>
      <c r="AF82" s="665" t="s">
        <v>889</v>
      </c>
      <c r="AG82" s="665" t="s">
        <v>890</v>
      </c>
    </row>
    <row r="83" spans="1:33" ht="117" x14ac:dyDescent="0.25">
      <c r="A83" s="658">
        <f t="shared" si="3"/>
        <v>53</v>
      </c>
      <c r="B83" s="759" t="s">
        <v>235</v>
      </c>
      <c r="C83" s="659">
        <v>80101706</v>
      </c>
      <c r="D83" s="660" t="s">
        <v>541</v>
      </c>
      <c r="E83" s="759" t="s">
        <v>48</v>
      </c>
      <c r="F83" s="759">
        <v>1</v>
      </c>
      <c r="G83" s="661" t="s">
        <v>73</v>
      </c>
      <c r="H83" s="662">
        <v>5</v>
      </c>
      <c r="I83" s="759" t="s">
        <v>61</v>
      </c>
      <c r="J83" s="759" t="s">
        <v>66</v>
      </c>
      <c r="K83" s="759" t="s">
        <v>473</v>
      </c>
      <c r="L83" s="663">
        <v>25040000</v>
      </c>
      <c r="M83" s="664">
        <v>25040000</v>
      </c>
      <c r="N83" s="759" t="s">
        <v>51</v>
      </c>
      <c r="O83" s="759" t="s">
        <v>36</v>
      </c>
      <c r="P83" s="759" t="s">
        <v>499</v>
      </c>
      <c r="Q83" s="80"/>
      <c r="R83" s="665" t="s">
        <v>690</v>
      </c>
      <c r="S83" s="665" t="s">
        <v>249</v>
      </c>
      <c r="T83" s="691">
        <v>43109</v>
      </c>
      <c r="U83" s="665" t="s">
        <v>691</v>
      </c>
      <c r="V83" s="665" t="s">
        <v>672</v>
      </c>
      <c r="W83" s="692">
        <v>25040000</v>
      </c>
      <c r="X83" s="692">
        <v>5008000</v>
      </c>
      <c r="Y83" s="692">
        <f t="shared" ref="Y83" si="4">W83+X83</f>
        <v>30048000</v>
      </c>
      <c r="Z83" s="692">
        <f>Y83</f>
        <v>30048000</v>
      </c>
      <c r="AA83" s="665" t="s">
        <v>692</v>
      </c>
      <c r="AB83" s="665" t="s">
        <v>1272</v>
      </c>
      <c r="AC83" s="665" t="s">
        <v>693</v>
      </c>
      <c r="AD83" s="691">
        <v>43110</v>
      </c>
      <c r="AE83" s="691">
        <v>43260</v>
      </c>
      <c r="AF83" s="665" t="s">
        <v>694</v>
      </c>
      <c r="AG83" s="665" t="s">
        <v>235</v>
      </c>
    </row>
    <row r="84" spans="1:33" s="687" customFormat="1" ht="156.75" customHeight="1" x14ac:dyDescent="0.25">
      <c r="A84" s="658">
        <f t="shared" si="3"/>
        <v>54</v>
      </c>
      <c r="B84" s="759" t="s">
        <v>490</v>
      </c>
      <c r="C84" s="659" t="s">
        <v>1214</v>
      </c>
      <c r="D84" s="660" t="s">
        <v>69</v>
      </c>
      <c r="E84" s="759" t="s">
        <v>68</v>
      </c>
      <c r="F84" s="759">
        <v>1</v>
      </c>
      <c r="G84" s="661" t="s">
        <v>80</v>
      </c>
      <c r="H84" s="662">
        <v>12</v>
      </c>
      <c r="I84" s="759" t="s">
        <v>285</v>
      </c>
      <c r="J84" s="759" t="s">
        <v>66</v>
      </c>
      <c r="K84" s="759" t="s">
        <v>583</v>
      </c>
      <c r="L84" s="663">
        <v>177663966</v>
      </c>
      <c r="M84" s="664">
        <v>177663966</v>
      </c>
      <c r="N84" s="759" t="s">
        <v>51</v>
      </c>
      <c r="O84" s="759" t="s">
        <v>36</v>
      </c>
      <c r="P84" s="759" t="s">
        <v>308</v>
      </c>
      <c r="Q84" s="80"/>
      <c r="R84" s="665" t="s">
        <v>1456</v>
      </c>
      <c r="S84" s="665" t="s">
        <v>1455</v>
      </c>
      <c r="T84" s="691">
        <v>43194</v>
      </c>
      <c r="U84" s="665" t="s">
        <v>1454</v>
      </c>
      <c r="V84" s="665" t="s">
        <v>657</v>
      </c>
      <c r="W84" s="692">
        <v>172210320</v>
      </c>
      <c r="X84" s="692">
        <v>0</v>
      </c>
      <c r="Y84" s="692">
        <v>172210320</v>
      </c>
      <c r="Z84" s="692">
        <v>172210320</v>
      </c>
      <c r="AA84" s="665" t="s">
        <v>1453</v>
      </c>
      <c r="AB84" s="665">
        <v>19418</v>
      </c>
      <c r="AC84" s="665" t="s">
        <v>1452</v>
      </c>
      <c r="AD84" s="691" t="s">
        <v>148</v>
      </c>
      <c r="AE84" s="691" t="s">
        <v>148</v>
      </c>
      <c r="AF84" s="665" t="s">
        <v>1451</v>
      </c>
      <c r="AG84" s="665" t="s">
        <v>890</v>
      </c>
    </row>
    <row r="85" spans="1:33" ht="117.6" customHeight="1" x14ac:dyDescent="0.25">
      <c r="A85" s="586">
        <f t="shared" si="3"/>
        <v>55</v>
      </c>
      <c r="B85" s="587" t="s">
        <v>490</v>
      </c>
      <c r="C85" s="755">
        <v>93151502</v>
      </c>
      <c r="D85" s="589" t="s">
        <v>1213</v>
      </c>
      <c r="E85" s="587" t="s">
        <v>68</v>
      </c>
      <c r="F85" s="587">
        <v>1</v>
      </c>
      <c r="G85" s="590" t="s">
        <v>81</v>
      </c>
      <c r="H85" s="591" t="s">
        <v>652</v>
      </c>
      <c r="I85" s="587" t="s">
        <v>61</v>
      </c>
      <c r="J85" s="587" t="s">
        <v>66</v>
      </c>
      <c r="K85" s="587" t="s">
        <v>583</v>
      </c>
      <c r="L85" s="592">
        <v>252535187</v>
      </c>
      <c r="M85" s="593">
        <v>252535187</v>
      </c>
      <c r="N85" s="587" t="s">
        <v>51</v>
      </c>
      <c r="O85" s="587" t="s">
        <v>36</v>
      </c>
      <c r="P85" s="587" t="s">
        <v>308</v>
      </c>
      <c r="Q85" s="80"/>
      <c r="R85" s="673" t="s">
        <v>148</v>
      </c>
      <c r="S85" s="673" t="s">
        <v>148</v>
      </c>
      <c r="T85" s="693" t="s">
        <v>148</v>
      </c>
      <c r="U85" s="673" t="s">
        <v>148</v>
      </c>
      <c r="V85" s="673" t="s">
        <v>148</v>
      </c>
      <c r="W85" s="694">
        <v>0</v>
      </c>
      <c r="X85" s="694">
        <v>0</v>
      </c>
      <c r="Y85" s="694">
        <v>0</v>
      </c>
      <c r="Z85" s="694">
        <v>0</v>
      </c>
      <c r="AA85" s="673" t="s">
        <v>148</v>
      </c>
      <c r="AB85" s="673" t="s">
        <v>148</v>
      </c>
      <c r="AC85" s="673" t="s">
        <v>148</v>
      </c>
      <c r="AD85" s="693" t="s">
        <v>148</v>
      </c>
      <c r="AE85" s="693" t="s">
        <v>148</v>
      </c>
      <c r="AF85" s="673" t="s">
        <v>148</v>
      </c>
      <c r="AG85" s="673" t="s">
        <v>148</v>
      </c>
    </row>
    <row r="86" spans="1:33" ht="93" customHeight="1" x14ac:dyDescent="0.25">
      <c r="A86" s="586">
        <f t="shared" si="3"/>
        <v>56</v>
      </c>
      <c r="B86" s="587" t="s">
        <v>490</v>
      </c>
      <c r="C86" s="755">
        <v>80101706</v>
      </c>
      <c r="D86" s="589" t="s">
        <v>82</v>
      </c>
      <c r="E86" s="587" t="s">
        <v>68</v>
      </c>
      <c r="F86" s="587">
        <v>1</v>
      </c>
      <c r="G86" s="590" t="s">
        <v>81</v>
      </c>
      <c r="H86" s="591" t="s">
        <v>194</v>
      </c>
      <c r="I86" s="587" t="s">
        <v>61</v>
      </c>
      <c r="J86" s="587" t="s">
        <v>66</v>
      </c>
      <c r="K86" s="587" t="s">
        <v>583</v>
      </c>
      <c r="L86" s="592">
        <v>44067420</v>
      </c>
      <c r="M86" s="593">
        <v>44067420</v>
      </c>
      <c r="N86" s="587" t="s">
        <v>51</v>
      </c>
      <c r="O86" s="587" t="s">
        <v>36</v>
      </c>
      <c r="P86" s="587" t="s">
        <v>308</v>
      </c>
      <c r="Q86" s="80"/>
      <c r="R86" s="673" t="s">
        <v>148</v>
      </c>
      <c r="S86" s="673" t="s">
        <v>148</v>
      </c>
      <c r="T86" s="693" t="s">
        <v>148</v>
      </c>
      <c r="U86" s="673" t="s">
        <v>148</v>
      </c>
      <c r="V86" s="673" t="s">
        <v>148</v>
      </c>
      <c r="W86" s="694">
        <v>0</v>
      </c>
      <c r="X86" s="694">
        <v>0</v>
      </c>
      <c r="Y86" s="694">
        <v>0</v>
      </c>
      <c r="Z86" s="694">
        <v>0</v>
      </c>
      <c r="AA86" s="673" t="s">
        <v>148</v>
      </c>
      <c r="AB86" s="673" t="s">
        <v>148</v>
      </c>
      <c r="AC86" s="673" t="s">
        <v>148</v>
      </c>
      <c r="AD86" s="693" t="s">
        <v>148</v>
      </c>
      <c r="AE86" s="693" t="s">
        <v>148</v>
      </c>
      <c r="AF86" s="673" t="s">
        <v>148</v>
      </c>
      <c r="AG86" s="673" t="s">
        <v>148</v>
      </c>
    </row>
    <row r="87" spans="1:33" ht="117" customHeight="1" x14ac:dyDescent="0.25">
      <c r="A87" s="890">
        <f t="shared" si="3"/>
        <v>57</v>
      </c>
      <c r="B87" s="759" t="s">
        <v>265</v>
      </c>
      <c r="C87" s="659">
        <v>80101706</v>
      </c>
      <c r="D87" s="660" t="s">
        <v>501</v>
      </c>
      <c r="E87" s="759" t="s">
        <v>48</v>
      </c>
      <c r="F87" s="759">
        <v>1</v>
      </c>
      <c r="G87" s="661" t="s">
        <v>73</v>
      </c>
      <c r="H87" s="662">
        <v>5</v>
      </c>
      <c r="I87" s="759" t="s">
        <v>61</v>
      </c>
      <c r="J87" s="759" t="s">
        <v>66</v>
      </c>
      <c r="K87" s="759" t="s">
        <v>473</v>
      </c>
      <c r="L87" s="663">
        <v>19475000</v>
      </c>
      <c r="M87" s="664">
        <v>19475000</v>
      </c>
      <c r="N87" s="759" t="s">
        <v>51</v>
      </c>
      <c r="O87" s="759" t="s">
        <v>36</v>
      </c>
      <c r="P87" s="759" t="s">
        <v>502</v>
      </c>
      <c r="Q87" s="80"/>
      <c r="R87" s="748" t="s">
        <v>695</v>
      </c>
      <c r="S87" s="886" t="s">
        <v>696</v>
      </c>
      <c r="T87" s="691">
        <v>43109</v>
      </c>
      <c r="U87" s="886" t="s">
        <v>697</v>
      </c>
      <c r="V87" s="886" t="s">
        <v>672</v>
      </c>
      <c r="W87" s="692">
        <v>19475000</v>
      </c>
      <c r="X87" s="692"/>
      <c r="Y87" s="692">
        <f>W87+X87</f>
        <v>19475000</v>
      </c>
      <c r="Z87" s="692">
        <f t="shared" ref="Z87:Z89" si="5">Y87</f>
        <v>19475000</v>
      </c>
      <c r="AA87" s="665" t="s">
        <v>698</v>
      </c>
      <c r="AB87" s="665" t="s">
        <v>1273</v>
      </c>
      <c r="AC87" s="665" t="s">
        <v>693</v>
      </c>
      <c r="AD87" s="691">
        <v>43109</v>
      </c>
      <c r="AE87" s="691">
        <v>43259</v>
      </c>
      <c r="AF87" s="665" t="s">
        <v>1251</v>
      </c>
      <c r="AG87" s="665" t="s">
        <v>682</v>
      </c>
    </row>
    <row r="88" spans="1:33" ht="117" customHeight="1" x14ac:dyDescent="0.25">
      <c r="A88" s="891"/>
      <c r="B88" s="759" t="s">
        <v>265</v>
      </c>
      <c r="C88" s="659">
        <v>80101706</v>
      </c>
      <c r="D88" s="660" t="s">
        <v>501</v>
      </c>
      <c r="E88" s="759" t="s">
        <v>48</v>
      </c>
      <c r="F88" s="759">
        <v>1</v>
      </c>
      <c r="G88" s="661" t="s">
        <v>73</v>
      </c>
      <c r="H88" s="662">
        <v>5</v>
      </c>
      <c r="I88" s="759" t="s">
        <v>61</v>
      </c>
      <c r="J88" s="759" t="s">
        <v>66</v>
      </c>
      <c r="K88" s="759" t="s">
        <v>601</v>
      </c>
      <c r="L88" s="663">
        <v>9737500</v>
      </c>
      <c r="M88" s="664">
        <v>9737500</v>
      </c>
      <c r="N88" s="759" t="s">
        <v>51</v>
      </c>
      <c r="O88" s="759" t="s">
        <v>36</v>
      </c>
      <c r="P88" s="759" t="s">
        <v>502</v>
      </c>
      <c r="Q88" s="80"/>
      <c r="R88" s="748" t="s">
        <v>1764</v>
      </c>
      <c r="S88" s="887"/>
      <c r="T88" s="691">
        <v>43259</v>
      </c>
      <c r="U88" s="887"/>
      <c r="V88" s="887"/>
      <c r="W88" s="746"/>
      <c r="X88" s="746">
        <v>9737500</v>
      </c>
      <c r="Y88" s="746">
        <v>9737500</v>
      </c>
      <c r="Z88" s="746">
        <v>9737500</v>
      </c>
      <c r="AA88" s="665" t="s">
        <v>1763</v>
      </c>
      <c r="AB88" s="665">
        <v>24018</v>
      </c>
      <c r="AC88" s="796"/>
      <c r="AD88" s="691"/>
      <c r="AE88" s="691"/>
      <c r="AF88" s="665"/>
      <c r="AG88" s="665"/>
    </row>
    <row r="89" spans="1:33" ht="136.5" customHeight="1" x14ac:dyDescent="0.25">
      <c r="A89" s="658">
        <f>SUM(A87+1)</f>
        <v>58</v>
      </c>
      <c r="B89" s="759" t="s">
        <v>235</v>
      </c>
      <c r="C89" s="659">
        <v>80101706</v>
      </c>
      <c r="D89" s="660" t="s">
        <v>541</v>
      </c>
      <c r="E89" s="759" t="s">
        <v>48</v>
      </c>
      <c r="F89" s="759">
        <v>1</v>
      </c>
      <c r="G89" s="661" t="s">
        <v>73</v>
      </c>
      <c r="H89" s="662">
        <v>5</v>
      </c>
      <c r="I89" s="759" t="s">
        <v>61</v>
      </c>
      <c r="J89" s="759" t="s">
        <v>66</v>
      </c>
      <c r="K89" s="759" t="s">
        <v>473</v>
      </c>
      <c r="L89" s="663">
        <v>38765000</v>
      </c>
      <c r="M89" s="664">
        <v>38765000</v>
      </c>
      <c r="N89" s="759" t="s">
        <v>51</v>
      </c>
      <c r="O89" s="759" t="s">
        <v>36</v>
      </c>
      <c r="P89" s="759" t="s">
        <v>499</v>
      </c>
      <c r="Q89" s="80"/>
      <c r="R89" s="665" t="s">
        <v>700</v>
      </c>
      <c r="S89" s="665" t="s">
        <v>257</v>
      </c>
      <c r="T89" s="691">
        <v>43109</v>
      </c>
      <c r="U89" s="665" t="s">
        <v>701</v>
      </c>
      <c r="V89" s="665" t="s">
        <v>672</v>
      </c>
      <c r="W89" s="692">
        <v>38765000</v>
      </c>
      <c r="X89" s="692">
        <v>7753000</v>
      </c>
      <c r="Y89" s="692">
        <f t="shared" ref="Y89" si="6">W89+X89</f>
        <v>46518000</v>
      </c>
      <c r="Z89" s="692">
        <f t="shared" si="5"/>
        <v>46518000</v>
      </c>
      <c r="AA89" s="665" t="s">
        <v>702</v>
      </c>
      <c r="AB89" s="665" t="s">
        <v>1274</v>
      </c>
      <c r="AC89" s="665" t="s">
        <v>693</v>
      </c>
      <c r="AD89" s="691">
        <v>43117</v>
      </c>
      <c r="AE89" s="691">
        <v>43267</v>
      </c>
      <c r="AF89" s="665" t="s">
        <v>703</v>
      </c>
      <c r="AG89" s="665" t="s">
        <v>235</v>
      </c>
    </row>
    <row r="90" spans="1:33" ht="116.25" customHeight="1" x14ac:dyDescent="0.25">
      <c r="A90" s="586">
        <f t="shared" si="3"/>
        <v>59</v>
      </c>
      <c r="B90" s="587" t="s">
        <v>490</v>
      </c>
      <c r="C90" s="755" t="s">
        <v>1262</v>
      </c>
      <c r="D90" s="589" t="s">
        <v>595</v>
      </c>
      <c r="E90" s="587" t="s">
        <v>68</v>
      </c>
      <c r="F90" s="587">
        <v>1</v>
      </c>
      <c r="G90" s="590" t="s">
        <v>81</v>
      </c>
      <c r="H90" s="591">
        <v>12</v>
      </c>
      <c r="I90" s="587" t="s">
        <v>285</v>
      </c>
      <c r="J90" s="587" t="s">
        <v>66</v>
      </c>
      <c r="K90" s="587" t="s">
        <v>583</v>
      </c>
      <c r="L90" s="592">
        <v>96600000</v>
      </c>
      <c r="M90" s="593">
        <v>96600000</v>
      </c>
      <c r="N90" s="587" t="s">
        <v>51</v>
      </c>
      <c r="O90" s="587" t="s">
        <v>36</v>
      </c>
      <c r="P90" s="587" t="s">
        <v>308</v>
      </c>
      <c r="Q90" s="80"/>
      <c r="R90" s="673" t="s">
        <v>148</v>
      </c>
      <c r="S90" s="673" t="s">
        <v>148</v>
      </c>
      <c r="T90" s="693" t="s">
        <v>148</v>
      </c>
      <c r="U90" s="673" t="s">
        <v>148</v>
      </c>
      <c r="V90" s="673" t="s">
        <v>148</v>
      </c>
      <c r="W90" s="694">
        <v>0</v>
      </c>
      <c r="X90" s="694">
        <v>0</v>
      </c>
      <c r="Y90" s="694">
        <v>0</v>
      </c>
      <c r="Z90" s="694">
        <v>0</v>
      </c>
      <c r="AA90" s="673" t="s">
        <v>148</v>
      </c>
      <c r="AB90" s="673" t="s">
        <v>148</v>
      </c>
      <c r="AC90" s="673" t="s">
        <v>148</v>
      </c>
      <c r="AD90" s="693" t="s">
        <v>148</v>
      </c>
      <c r="AE90" s="693" t="s">
        <v>148</v>
      </c>
      <c r="AF90" s="673" t="s">
        <v>148</v>
      </c>
      <c r="AG90" s="673" t="s">
        <v>148</v>
      </c>
    </row>
    <row r="91" spans="1:33" ht="127.5" customHeight="1" x14ac:dyDescent="0.25">
      <c r="A91" s="890">
        <f t="shared" si="3"/>
        <v>60</v>
      </c>
      <c r="B91" s="902" t="s">
        <v>490</v>
      </c>
      <c r="C91" s="758" t="s">
        <v>1263</v>
      </c>
      <c r="D91" s="758" t="s">
        <v>496</v>
      </c>
      <c r="E91" s="714" t="s">
        <v>68</v>
      </c>
      <c r="F91" s="758">
        <v>1</v>
      </c>
      <c r="G91" s="760" t="s">
        <v>80</v>
      </c>
      <c r="H91" s="662">
        <v>12</v>
      </c>
      <c r="I91" s="759" t="s">
        <v>285</v>
      </c>
      <c r="J91" s="758" t="s">
        <v>66</v>
      </c>
      <c r="K91" s="758" t="s">
        <v>583</v>
      </c>
      <c r="L91" s="663">
        <v>49774872</v>
      </c>
      <c r="M91" s="664">
        <v>49774872</v>
      </c>
      <c r="N91" s="902" t="s">
        <v>51</v>
      </c>
      <c r="O91" s="902" t="s">
        <v>36</v>
      </c>
      <c r="P91" s="902" t="s">
        <v>308</v>
      </c>
      <c r="Q91" s="80"/>
      <c r="R91" s="748" t="s">
        <v>1450</v>
      </c>
      <c r="S91" s="886" t="s">
        <v>1449</v>
      </c>
      <c r="T91" s="888">
        <v>43214</v>
      </c>
      <c r="U91" s="886" t="s">
        <v>1448</v>
      </c>
      <c r="V91" s="886" t="s">
        <v>657</v>
      </c>
      <c r="W91" s="746">
        <v>49767872</v>
      </c>
      <c r="X91" s="746">
        <v>0</v>
      </c>
      <c r="Y91" s="746">
        <v>49767872</v>
      </c>
      <c r="Z91" s="746">
        <v>49767872</v>
      </c>
      <c r="AA91" s="886" t="s">
        <v>1447</v>
      </c>
      <c r="AB91" s="886">
        <v>19718</v>
      </c>
      <c r="AC91" s="886"/>
      <c r="AD91" s="888"/>
      <c r="AE91" s="888"/>
      <c r="AF91" s="886" t="s">
        <v>1238</v>
      </c>
      <c r="AG91" s="886" t="s">
        <v>890</v>
      </c>
    </row>
    <row r="92" spans="1:33" ht="110.25" customHeight="1" x14ac:dyDescent="0.25">
      <c r="A92" s="891"/>
      <c r="B92" s="903"/>
      <c r="C92" s="758" t="s">
        <v>1263</v>
      </c>
      <c r="D92" s="758" t="s">
        <v>496</v>
      </c>
      <c r="E92" s="714" t="s">
        <v>68</v>
      </c>
      <c r="F92" s="758">
        <v>1</v>
      </c>
      <c r="G92" s="760" t="s">
        <v>80</v>
      </c>
      <c r="H92" s="662">
        <v>12</v>
      </c>
      <c r="I92" s="759" t="s">
        <v>285</v>
      </c>
      <c r="J92" s="758" t="s">
        <v>66</v>
      </c>
      <c r="K92" s="759" t="s">
        <v>619</v>
      </c>
      <c r="L92" s="663">
        <v>65125128</v>
      </c>
      <c r="M92" s="664">
        <v>65125128</v>
      </c>
      <c r="N92" s="903"/>
      <c r="O92" s="903"/>
      <c r="P92" s="903"/>
      <c r="Q92" s="80"/>
      <c r="R92" s="748" t="s">
        <v>1450</v>
      </c>
      <c r="S92" s="887"/>
      <c r="T92" s="889"/>
      <c r="U92" s="887"/>
      <c r="V92" s="887"/>
      <c r="W92" s="746">
        <v>65102128</v>
      </c>
      <c r="X92" s="746">
        <v>0</v>
      </c>
      <c r="Y92" s="746">
        <v>65102128</v>
      </c>
      <c r="Z92" s="746">
        <v>65102128</v>
      </c>
      <c r="AA92" s="887"/>
      <c r="AB92" s="887"/>
      <c r="AC92" s="887"/>
      <c r="AD92" s="889"/>
      <c r="AE92" s="889"/>
      <c r="AF92" s="887"/>
      <c r="AG92" s="887"/>
    </row>
    <row r="93" spans="1:33" ht="93" customHeight="1" x14ac:dyDescent="0.25">
      <c r="A93" s="586">
        <f>SUM(A91+1)</f>
        <v>61</v>
      </c>
      <c r="B93" s="587" t="s">
        <v>500</v>
      </c>
      <c r="C93" s="755">
        <v>32101617</v>
      </c>
      <c r="D93" s="589" t="s">
        <v>178</v>
      </c>
      <c r="E93" s="587" t="s">
        <v>48</v>
      </c>
      <c r="F93" s="587">
        <v>12</v>
      </c>
      <c r="G93" s="590" t="s">
        <v>81</v>
      </c>
      <c r="H93" s="591" t="s">
        <v>194</v>
      </c>
      <c r="I93" s="587" t="s">
        <v>55</v>
      </c>
      <c r="J93" s="587" t="s">
        <v>35</v>
      </c>
      <c r="K93" s="587" t="s">
        <v>161</v>
      </c>
      <c r="L93" s="592">
        <v>3900000</v>
      </c>
      <c r="M93" s="593">
        <v>3900000</v>
      </c>
      <c r="N93" s="587" t="s">
        <v>51</v>
      </c>
      <c r="O93" s="587" t="s">
        <v>36</v>
      </c>
      <c r="P93" s="587" t="s">
        <v>321</v>
      </c>
      <c r="Q93" s="80"/>
      <c r="R93" s="673" t="s">
        <v>148</v>
      </c>
      <c r="S93" s="673" t="s">
        <v>148</v>
      </c>
      <c r="T93" s="693" t="s">
        <v>148</v>
      </c>
      <c r="U93" s="673" t="s">
        <v>148</v>
      </c>
      <c r="V93" s="673" t="s">
        <v>148</v>
      </c>
      <c r="W93" s="694">
        <v>0</v>
      </c>
      <c r="X93" s="694">
        <v>0</v>
      </c>
      <c r="Y93" s="694">
        <v>0</v>
      </c>
      <c r="Z93" s="694">
        <v>0</v>
      </c>
      <c r="AA93" s="673" t="s">
        <v>148</v>
      </c>
      <c r="AB93" s="673" t="s">
        <v>148</v>
      </c>
      <c r="AC93" s="673" t="s">
        <v>148</v>
      </c>
      <c r="AD93" s="693" t="s">
        <v>148</v>
      </c>
      <c r="AE93" s="693" t="s">
        <v>148</v>
      </c>
      <c r="AF93" s="673" t="s">
        <v>148</v>
      </c>
      <c r="AG93" s="673" t="s">
        <v>148</v>
      </c>
    </row>
    <row r="94" spans="1:33" ht="175.5" customHeight="1" x14ac:dyDescent="0.25">
      <c r="A94" s="658">
        <f t="shared" ref="A94:A109" si="7">SUM(A93+1)</f>
        <v>62</v>
      </c>
      <c r="B94" s="759" t="s">
        <v>500</v>
      </c>
      <c r="C94" s="659">
        <v>80101706</v>
      </c>
      <c r="D94" s="660" t="s">
        <v>594</v>
      </c>
      <c r="E94" s="759" t="s">
        <v>68</v>
      </c>
      <c r="F94" s="759">
        <v>1</v>
      </c>
      <c r="G94" s="661" t="s">
        <v>73</v>
      </c>
      <c r="H94" s="662" t="s">
        <v>157</v>
      </c>
      <c r="I94" s="759" t="s">
        <v>61</v>
      </c>
      <c r="J94" s="759" t="s">
        <v>35</v>
      </c>
      <c r="K94" s="759" t="s">
        <v>439</v>
      </c>
      <c r="L94" s="663">
        <v>15000000</v>
      </c>
      <c r="M94" s="664">
        <v>15000000</v>
      </c>
      <c r="N94" s="759" t="s">
        <v>51</v>
      </c>
      <c r="O94" s="759" t="s">
        <v>36</v>
      </c>
      <c r="P94" s="759" t="s">
        <v>321</v>
      </c>
      <c r="Q94" s="80"/>
      <c r="R94" s="665" t="s">
        <v>704</v>
      </c>
      <c r="S94" s="665" t="s">
        <v>1256</v>
      </c>
      <c r="T94" s="691">
        <v>43116</v>
      </c>
      <c r="U94" s="665" t="s">
        <v>705</v>
      </c>
      <c r="V94" s="665" t="s">
        <v>672</v>
      </c>
      <c r="W94" s="692">
        <v>15000000</v>
      </c>
      <c r="X94" s="692">
        <v>2000000</v>
      </c>
      <c r="Y94" s="692">
        <v>17000000</v>
      </c>
      <c r="Z94" s="692">
        <f t="shared" ref="Z94:Z95" si="8">Y94</f>
        <v>17000000</v>
      </c>
      <c r="AA94" s="665" t="s">
        <v>706</v>
      </c>
      <c r="AB94" s="665" t="s">
        <v>1275</v>
      </c>
      <c r="AC94" s="665" t="s">
        <v>707</v>
      </c>
      <c r="AD94" s="691">
        <v>43117</v>
      </c>
      <c r="AE94" s="691">
        <v>43175</v>
      </c>
      <c r="AF94" s="665" t="s">
        <v>708</v>
      </c>
      <c r="AG94" s="665" t="s">
        <v>709</v>
      </c>
    </row>
    <row r="95" spans="1:33" ht="97.5" customHeight="1" x14ac:dyDescent="0.25">
      <c r="A95" s="890">
        <f t="shared" si="7"/>
        <v>63</v>
      </c>
      <c r="B95" s="759" t="s">
        <v>265</v>
      </c>
      <c r="C95" s="659">
        <v>80101706</v>
      </c>
      <c r="D95" s="660" t="s">
        <v>501</v>
      </c>
      <c r="E95" s="759" t="s">
        <v>48</v>
      </c>
      <c r="F95" s="759">
        <v>1</v>
      </c>
      <c r="G95" s="661" t="s">
        <v>73</v>
      </c>
      <c r="H95" s="662">
        <v>5</v>
      </c>
      <c r="I95" s="759" t="s">
        <v>61</v>
      </c>
      <c r="J95" s="759" t="s">
        <v>66</v>
      </c>
      <c r="K95" s="759" t="s">
        <v>473</v>
      </c>
      <c r="L95" s="663">
        <v>55000000</v>
      </c>
      <c r="M95" s="664">
        <v>55000000</v>
      </c>
      <c r="N95" s="759" t="s">
        <v>51</v>
      </c>
      <c r="O95" s="759" t="s">
        <v>36</v>
      </c>
      <c r="P95" s="759" t="s">
        <v>502</v>
      </c>
      <c r="Q95" s="80"/>
      <c r="R95" s="748" t="s">
        <v>710</v>
      </c>
      <c r="S95" s="665" t="s">
        <v>711</v>
      </c>
      <c r="T95" s="691">
        <v>43109</v>
      </c>
      <c r="U95" s="665" t="s">
        <v>712</v>
      </c>
      <c r="V95" s="665" t="s">
        <v>672</v>
      </c>
      <c r="W95" s="692">
        <v>55000000</v>
      </c>
      <c r="X95" s="692"/>
      <c r="Y95" s="692">
        <f t="shared" ref="Y95" si="9">W95+X95</f>
        <v>55000000</v>
      </c>
      <c r="Z95" s="692">
        <f t="shared" si="8"/>
        <v>55000000</v>
      </c>
      <c r="AA95" s="665" t="s">
        <v>713</v>
      </c>
      <c r="AB95" s="665" t="s">
        <v>1276</v>
      </c>
      <c r="AC95" s="665" t="s">
        <v>693</v>
      </c>
      <c r="AD95" s="691">
        <v>43111</v>
      </c>
      <c r="AE95" s="691">
        <v>43261</v>
      </c>
      <c r="AF95" s="665" t="s">
        <v>1251</v>
      </c>
      <c r="AG95" s="665" t="s">
        <v>682</v>
      </c>
    </row>
    <row r="96" spans="1:33" ht="97.5" customHeight="1" x14ac:dyDescent="0.25">
      <c r="A96" s="891"/>
      <c r="B96" s="759" t="s">
        <v>265</v>
      </c>
      <c r="C96" s="659">
        <v>80101706</v>
      </c>
      <c r="D96" s="660" t="s">
        <v>501</v>
      </c>
      <c r="E96" s="759" t="s">
        <v>48</v>
      </c>
      <c r="F96" s="759">
        <v>1</v>
      </c>
      <c r="G96" s="661" t="s">
        <v>73</v>
      </c>
      <c r="H96" s="662">
        <v>5</v>
      </c>
      <c r="I96" s="759" t="s">
        <v>61</v>
      </c>
      <c r="J96" s="759" t="s">
        <v>66</v>
      </c>
      <c r="K96" s="759" t="s">
        <v>601</v>
      </c>
      <c r="L96" s="663">
        <v>27500000</v>
      </c>
      <c r="M96" s="664">
        <v>27500000</v>
      </c>
      <c r="N96" s="759" t="s">
        <v>51</v>
      </c>
      <c r="O96" s="759" t="s">
        <v>36</v>
      </c>
      <c r="P96" s="759" t="s">
        <v>502</v>
      </c>
      <c r="Q96" s="80"/>
      <c r="R96" s="748" t="s">
        <v>710</v>
      </c>
      <c r="S96" s="665"/>
      <c r="T96" s="691"/>
      <c r="U96" s="665"/>
      <c r="V96" s="665"/>
      <c r="W96" s="746"/>
      <c r="X96" s="746">
        <v>27500000</v>
      </c>
      <c r="Y96" s="746">
        <v>27500000</v>
      </c>
      <c r="Z96" s="746">
        <v>27500000</v>
      </c>
      <c r="AA96" s="747"/>
      <c r="AB96" s="665"/>
      <c r="AC96" s="665"/>
      <c r="AD96" s="691"/>
      <c r="AE96" s="691"/>
      <c r="AF96" s="665"/>
      <c r="AG96" s="665"/>
    </row>
    <row r="97" spans="1:33" ht="117" customHeight="1" x14ac:dyDescent="0.25">
      <c r="A97" s="658">
        <f>SUM(A95+1)</f>
        <v>64</v>
      </c>
      <c r="B97" s="759" t="s">
        <v>503</v>
      </c>
      <c r="C97" s="659">
        <v>80101706</v>
      </c>
      <c r="D97" s="660" t="s">
        <v>504</v>
      </c>
      <c r="E97" s="759" t="s">
        <v>48</v>
      </c>
      <c r="F97" s="759">
        <v>1</v>
      </c>
      <c r="G97" s="661" t="s">
        <v>73</v>
      </c>
      <c r="H97" s="662">
        <v>5</v>
      </c>
      <c r="I97" s="759" t="s">
        <v>61</v>
      </c>
      <c r="J97" s="759" t="s">
        <v>66</v>
      </c>
      <c r="K97" s="759" t="s">
        <v>473</v>
      </c>
      <c r="L97" s="663">
        <v>19475000</v>
      </c>
      <c r="M97" s="664">
        <v>19475000</v>
      </c>
      <c r="N97" s="759" t="s">
        <v>51</v>
      </c>
      <c r="O97" s="759" t="s">
        <v>36</v>
      </c>
      <c r="P97" s="759" t="s">
        <v>502</v>
      </c>
      <c r="Q97" s="80"/>
      <c r="R97" s="665" t="s">
        <v>714</v>
      </c>
      <c r="S97" s="665" t="s">
        <v>715</v>
      </c>
      <c r="T97" s="691">
        <v>43109</v>
      </c>
      <c r="U97" s="665" t="s">
        <v>716</v>
      </c>
      <c r="V97" s="665" t="s">
        <v>672</v>
      </c>
      <c r="W97" s="692">
        <v>19475000</v>
      </c>
      <c r="X97" s="692">
        <v>0</v>
      </c>
      <c r="Y97" s="692">
        <v>19475000</v>
      </c>
      <c r="Z97" s="692">
        <v>19475000</v>
      </c>
      <c r="AA97" s="665" t="s">
        <v>717</v>
      </c>
      <c r="AB97" s="665" t="s">
        <v>1277</v>
      </c>
      <c r="AC97" s="665" t="s">
        <v>693</v>
      </c>
      <c r="AD97" s="691">
        <v>43115</v>
      </c>
      <c r="AE97" s="691">
        <v>43265</v>
      </c>
      <c r="AF97" s="665" t="s">
        <v>1253</v>
      </c>
      <c r="AG97" s="665" t="s">
        <v>682</v>
      </c>
    </row>
    <row r="98" spans="1:33" ht="117" customHeight="1" x14ac:dyDescent="0.25">
      <c r="A98" s="658">
        <f t="shared" si="7"/>
        <v>65</v>
      </c>
      <c r="B98" s="759" t="s">
        <v>503</v>
      </c>
      <c r="C98" s="659">
        <v>80101706</v>
      </c>
      <c r="D98" s="660" t="s">
        <v>504</v>
      </c>
      <c r="E98" s="759" t="s">
        <v>48</v>
      </c>
      <c r="F98" s="759">
        <v>1</v>
      </c>
      <c r="G98" s="661" t="s">
        <v>73</v>
      </c>
      <c r="H98" s="662">
        <v>5</v>
      </c>
      <c r="I98" s="759" t="s">
        <v>61</v>
      </c>
      <c r="J98" s="759" t="s">
        <v>66</v>
      </c>
      <c r="K98" s="759" t="s">
        <v>473</v>
      </c>
      <c r="L98" s="663">
        <v>47500000</v>
      </c>
      <c r="M98" s="664">
        <v>47500000</v>
      </c>
      <c r="N98" s="759" t="s">
        <v>51</v>
      </c>
      <c r="O98" s="759" t="s">
        <v>36</v>
      </c>
      <c r="P98" s="759" t="s">
        <v>502</v>
      </c>
      <c r="Q98" s="80"/>
      <c r="R98" s="665" t="s">
        <v>718</v>
      </c>
      <c r="S98" s="665" t="s">
        <v>237</v>
      </c>
      <c r="T98" s="691">
        <v>43125</v>
      </c>
      <c r="U98" s="665" t="s">
        <v>719</v>
      </c>
      <c r="V98" s="665" t="s">
        <v>672</v>
      </c>
      <c r="W98" s="692">
        <v>47500000</v>
      </c>
      <c r="X98" s="692">
        <v>0</v>
      </c>
      <c r="Y98" s="692">
        <v>47500000</v>
      </c>
      <c r="Z98" s="692">
        <v>47500000</v>
      </c>
      <c r="AA98" s="665" t="s">
        <v>720</v>
      </c>
      <c r="AB98" s="665" t="s">
        <v>1278</v>
      </c>
      <c r="AC98" s="665" t="s">
        <v>693</v>
      </c>
      <c r="AD98" s="691">
        <v>43125</v>
      </c>
      <c r="AE98" s="691">
        <v>43275</v>
      </c>
      <c r="AF98" s="665" t="s">
        <v>1251</v>
      </c>
      <c r="AG98" s="665" t="s">
        <v>682</v>
      </c>
    </row>
    <row r="99" spans="1:33" ht="117" customHeight="1" x14ac:dyDescent="0.25">
      <c r="A99" s="890">
        <f t="shared" si="7"/>
        <v>66</v>
      </c>
      <c r="B99" s="759" t="s">
        <v>503</v>
      </c>
      <c r="C99" s="659">
        <v>80101706</v>
      </c>
      <c r="D99" s="660" t="s">
        <v>504</v>
      </c>
      <c r="E99" s="759" t="s">
        <v>48</v>
      </c>
      <c r="F99" s="759">
        <v>1</v>
      </c>
      <c r="G99" s="661" t="s">
        <v>73</v>
      </c>
      <c r="H99" s="662">
        <v>5</v>
      </c>
      <c r="I99" s="759" t="s">
        <v>61</v>
      </c>
      <c r="J99" s="759" t="s">
        <v>66</v>
      </c>
      <c r="K99" s="759" t="s">
        <v>473</v>
      </c>
      <c r="L99" s="663">
        <v>21700000</v>
      </c>
      <c r="M99" s="664">
        <v>21700000</v>
      </c>
      <c r="N99" s="759" t="s">
        <v>51</v>
      </c>
      <c r="O99" s="759" t="s">
        <v>36</v>
      </c>
      <c r="P99" s="759" t="s">
        <v>502</v>
      </c>
      <c r="Q99" s="80"/>
      <c r="R99" s="665" t="s">
        <v>721</v>
      </c>
      <c r="S99" s="665" t="s">
        <v>722</v>
      </c>
      <c r="T99" s="691">
        <v>43109</v>
      </c>
      <c r="U99" s="665" t="s">
        <v>723</v>
      </c>
      <c r="V99" s="665" t="s">
        <v>672</v>
      </c>
      <c r="W99" s="692">
        <v>21700000</v>
      </c>
      <c r="X99" s="692">
        <v>4340000</v>
      </c>
      <c r="Y99" s="692">
        <f>W99+X99</f>
        <v>26040000</v>
      </c>
      <c r="Z99" s="692">
        <f t="shared" ref="Z99:Z106" si="10">Y99</f>
        <v>26040000</v>
      </c>
      <c r="AA99" s="665" t="s">
        <v>724</v>
      </c>
      <c r="AB99" s="665" t="s">
        <v>1279</v>
      </c>
      <c r="AC99" s="665" t="s">
        <v>693</v>
      </c>
      <c r="AD99" s="691">
        <v>43109</v>
      </c>
      <c r="AE99" s="691">
        <v>43259</v>
      </c>
      <c r="AF99" s="665" t="s">
        <v>1253</v>
      </c>
      <c r="AG99" s="665" t="s">
        <v>682</v>
      </c>
    </row>
    <row r="100" spans="1:33" ht="117" customHeight="1" x14ac:dyDescent="0.25">
      <c r="A100" s="891"/>
      <c r="B100" s="759" t="s">
        <v>503</v>
      </c>
      <c r="C100" s="659">
        <v>80101706</v>
      </c>
      <c r="D100" s="660" t="s">
        <v>504</v>
      </c>
      <c r="E100" s="759" t="s">
        <v>48</v>
      </c>
      <c r="F100" s="759">
        <v>1</v>
      </c>
      <c r="G100" s="661" t="s">
        <v>73</v>
      </c>
      <c r="H100" s="662">
        <v>5</v>
      </c>
      <c r="I100" s="759" t="s">
        <v>61</v>
      </c>
      <c r="J100" s="759" t="s">
        <v>66</v>
      </c>
      <c r="K100" s="759" t="s">
        <v>601</v>
      </c>
      <c r="L100" s="663">
        <v>6510000</v>
      </c>
      <c r="M100" s="664">
        <v>6510000</v>
      </c>
      <c r="N100" s="759" t="s">
        <v>51</v>
      </c>
      <c r="O100" s="759" t="s">
        <v>36</v>
      </c>
      <c r="P100" s="759" t="s">
        <v>502</v>
      </c>
      <c r="Q100" s="80"/>
      <c r="R100" s="665" t="s">
        <v>721</v>
      </c>
      <c r="S100" s="665"/>
      <c r="T100" s="691"/>
      <c r="U100" s="665"/>
      <c r="V100" s="665"/>
      <c r="W100" s="692"/>
      <c r="X100" s="746">
        <v>6510000</v>
      </c>
      <c r="Y100" s="746">
        <v>6510000</v>
      </c>
      <c r="Z100" s="746">
        <v>6510000</v>
      </c>
      <c r="AA100" s="665"/>
      <c r="AB100" s="665"/>
      <c r="AC100" s="665"/>
      <c r="AD100" s="691"/>
      <c r="AE100" s="691"/>
      <c r="AF100" s="665"/>
      <c r="AG100" s="665"/>
    </row>
    <row r="101" spans="1:33" ht="117" x14ac:dyDescent="0.25">
      <c r="A101" s="658">
        <f>SUM(A99+1)</f>
        <v>67</v>
      </c>
      <c r="B101" s="759" t="s">
        <v>505</v>
      </c>
      <c r="C101" s="659">
        <v>80101706</v>
      </c>
      <c r="D101" s="660" t="s">
        <v>506</v>
      </c>
      <c r="E101" s="759" t="s">
        <v>48</v>
      </c>
      <c r="F101" s="759">
        <v>1</v>
      </c>
      <c r="G101" s="661" t="s">
        <v>73</v>
      </c>
      <c r="H101" s="662">
        <v>5</v>
      </c>
      <c r="I101" s="759" t="s">
        <v>61</v>
      </c>
      <c r="J101" s="759" t="s">
        <v>66</v>
      </c>
      <c r="K101" s="759" t="s">
        <v>473</v>
      </c>
      <c r="L101" s="663">
        <v>19475000</v>
      </c>
      <c r="M101" s="664">
        <v>19475000</v>
      </c>
      <c r="N101" s="759" t="s">
        <v>51</v>
      </c>
      <c r="O101" s="759" t="s">
        <v>36</v>
      </c>
      <c r="P101" s="759" t="s">
        <v>502</v>
      </c>
      <c r="Q101" s="80"/>
      <c r="R101" s="665" t="s">
        <v>725</v>
      </c>
      <c r="S101" s="665" t="s">
        <v>726</v>
      </c>
      <c r="T101" s="691">
        <v>43109</v>
      </c>
      <c r="U101" s="665" t="s">
        <v>727</v>
      </c>
      <c r="V101" s="665" t="s">
        <v>672</v>
      </c>
      <c r="W101" s="692">
        <v>19475000</v>
      </c>
      <c r="X101" s="692">
        <v>3895000</v>
      </c>
      <c r="Y101" s="692">
        <f>W101+X101</f>
        <v>23370000</v>
      </c>
      <c r="Z101" s="692">
        <f t="shared" si="10"/>
        <v>23370000</v>
      </c>
      <c r="AA101" s="665" t="s">
        <v>728</v>
      </c>
      <c r="AB101" s="665" t="s">
        <v>1280</v>
      </c>
      <c r="AC101" s="665" t="s">
        <v>693</v>
      </c>
      <c r="AD101" s="691">
        <v>43112</v>
      </c>
      <c r="AE101" s="691">
        <v>43262</v>
      </c>
      <c r="AF101" s="665" t="s">
        <v>729</v>
      </c>
      <c r="AG101" s="665" t="s">
        <v>682</v>
      </c>
    </row>
    <row r="102" spans="1:33" ht="156" customHeight="1" x14ac:dyDescent="0.25">
      <c r="A102" s="658">
        <f t="shared" si="7"/>
        <v>68</v>
      </c>
      <c r="B102" s="759" t="s">
        <v>507</v>
      </c>
      <c r="C102" s="659">
        <v>80101706</v>
      </c>
      <c r="D102" s="660" t="s">
        <v>508</v>
      </c>
      <c r="E102" s="759" t="s">
        <v>48</v>
      </c>
      <c r="F102" s="759">
        <v>1</v>
      </c>
      <c r="G102" s="661" t="s">
        <v>73</v>
      </c>
      <c r="H102" s="662">
        <v>5</v>
      </c>
      <c r="I102" s="759" t="s">
        <v>61</v>
      </c>
      <c r="J102" s="759" t="s">
        <v>66</v>
      </c>
      <c r="K102" s="759" t="s">
        <v>473</v>
      </c>
      <c r="L102" s="663">
        <v>42500000</v>
      </c>
      <c r="M102" s="664">
        <v>42500000</v>
      </c>
      <c r="N102" s="759" t="s">
        <v>51</v>
      </c>
      <c r="O102" s="759" t="s">
        <v>36</v>
      </c>
      <c r="P102" s="759" t="s">
        <v>502</v>
      </c>
      <c r="Q102" s="80"/>
      <c r="R102" s="665" t="s">
        <v>730</v>
      </c>
      <c r="S102" s="665" t="s">
        <v>237</v>
      </c>
      <c r="T102" s="691">
        <v>43109</v>
      </c>
      <c r="U102" s="665" t="s">
        <v>731</v>
      </c>
      <c r="V102" s="665" t="s">
        <v>672</v>
      </c>
      <c r="W102" s="692">
        <v>42500000</v>
      </c>
      <c r="X102" s="692">
        <v>-37966667</v>
      </c>
      <c r="Y102" s="692">
        <f>W102+X102</f>
        <v>4533333</v>
      </c>
      <c r="Z102" s="692">
        <f t="shared" si="10"/>
        <v>4533333</v>
      </c>
      <c r="AA102" s="665" t="s">
        <v>732</v>
      </c>
      <c r="AB102" s="665" t="s">
        <v>1281</v>
      </c>
      <c r="AC102" s="665" t="s">
        <v>693</v>
      </c>
      <c r="AD102" s="691">
        <v>43109</v>
      </c>
      <c r="AE102" s="691">
        <v>43259</v>
      </c>
      <c r="AF102" s="665" t="s">
        <v>699</v>
      </c>
      <c r="AG102" s="665" t="s">
        <v>682</v>
      </c>
    </row>
    <row r="103" spans="1:33" ht="156" customHeight="1" x14ac:dyDescent="0.25">
      <c r="A103" s="658">
        <f t="shared" si="7"/>
        <v>69</v>
      </c>
      <c r="B103" s="759" t="s">
        <v>301</v>
      </c>
      <c r="C103" s="659">
        <v>80101706</v>
      </c>
      <c r="D103" s="660" t="s">
        <v>509</v>
      </c>
      <c r="E103" s="759" t="s">
        <v>48</v>
      </c>
      <c r="F103" s="759">
        <v>1</v>
      </c>
      <c r="G103" s="661" t="s">
        <v>73</v>
      </c>
      <c r="H103" s="662">
        <v>5</v>
      </c>
      <c r="I103" s="759" t="s">
        <v>61</v>
      </c>
      <c r="J103" s="759" t="s">
        <v>66</v>
      </c>
      <c r="K103" s="759" t="s">
        <v>473</v>
      </c>
      <c r="L103" s="663">
        <v>45000000</v>
      </c>
      <c r="M103" s="664">
        <v>45000000</v>
      </c>
      <c r="N103" s="759" t="s">
        <v>51</v>
      </c>
      <c r="O103" s="759" t="s">
        <v>36</v>
      </c>
      <c r="P103" s="759" t="s">
        <v>502</v>
      </c>
      <c r="Q103" s="80"/>
      <c r="R103" s="665" t="s">
        <v>733</v>
      </c>
      <c r="S103" s="665" t="s">
        <v>734</v>
      </c>
      <c r="T103" s="691">
        <v>43109</v>
      </c>
      <c r="U103" s="665" t="s">
        <v>735</v>
      </c>
      <c r="V103" s="665" t="s">
        <v>672</v>
      </c>
      <c r="W103" s="692">
        <v>45000000</v>
      </c>
      <c r="X103" s="692">
        <v>9000000</v>
      </c>
      <c r="Y103" s="692">
        <f>W103+X103</f>
        <v>54000000</v>
      </c>
      <c r="Z103" s="692">
        <f t="shared" si="10"/>
        <v>54000000</v>
      </c>
      <c r="AA103" s="665" t="s">
        <v>736</v>
      </c>
      <c r="AB103" s="665" t="s">
        <v>1282</v>
      </c>
      <c r="AC103" s="665" t="s">
        <v>693</v>
      </c>
      <c r="AD103" s="691">
        <v>43109</v>
      </c>
      <c r="AE103" s="691">
        <v>43259</v>
      </c>
      <c r="AF103" s="665" t="s">
        <v>737</v>
      </c>
      <c r="AG103" s="665" t="s">
        <v>301</v>
      </c>
    </row>
    <row r="104" spans="1:33" ht="175.5" customHeight="1" x14ac:dyDescent="0.25">
      <c r="A104" s="658">
        <f t="shared" si="7"/>
        <v>70</v>
      </c>
      <c r="B104" s="759" t="s">
        <v>301</v>
      </c>
      <c r="C104" s="659">
        <v>80101706</v>
      </c>
      <c r="D104" s="660" t="s">
        <v>509</v>
      </c>
      <c r="E104" s="759" t="s">
        <v>48</v>
      </c>
      <c r="F104" s="759">
        <v>1</v>
      </c>
      <c r="G104" s="661" t="s">
        <v>73</v>
      </c>
      <c r="H104" s="662">
        <v>5</v>
      </c>
      <c r="I104" s="759" t="s">
        <v>61</v>
      </c>
      <c r="J104" s="759" t="s">
        <v>66</v>
      </c>
      <c r="K104" s="759" t="s">
        <v>473</v>
      </c>
      <c r="L104" s="663">
        <v>41500000</v>
      </c>
      <c r="M104" s="664">
        <v>41500000</v>
      </c>
      <c r="N104" s="759" t="s">
        <v>51</v>
      </c>
      <c r="O104" s="759" t="s">
        <v>36</v>
      </c>
      <c r="P104" s="759" t="s">
        <v>502</v>
      </c>
      <c r="Q104" s="80"/>
      <c r="R104" s="665" t="s">
        <v>738</v>
      </c>
      <c r="S104" s="665" t="s">
        <v>739</v>
      </c>
      <c r="T104" s="691">
        <v>43105</v>
      </c>
      <c r="U104" s="665" t="s">
        <v>740</v>
      </c>
      <c r="V104" s="665" t="s">
        <v>672</v>
      </c>
      <c r="W104" s="692">
        <v>41500000</v>
      </c>
      <c r="X104" s="692">
        <v>8300000</v>
      </c>
      <c r="Y104" s="692">
        <f>W104+X104</f>
        <v>49800000</v>
      </c>
      <c r="Z104" s="692">
        <f t="shared" si="10"/>
        <v>49800000</v>
      </c>
      <c r="AA104" s="665" t="s">
        <v>741</v>
      </c>
      <c r="AB104" s="665" t="s">
        <v>1283</v>
      </c>
      <c r="AC104" s="665" t="s">
        <v>693</v>
      </c>
      <c r="AD104" s="691">
        <v>43105</v>
      </c>
      <c r="AE104" s="691">
        <v>43255</v>
      </c>
      <c r="AF104" s="665" t="s">
        <v>737</v>
      </c>
      <c r="AG104" s="665" t="s">
        <v>301</v>
      </c>
    </row>
    <row r="105" spans="1:33" ht="156" customHeight="1" x14ac:dyDescent="0.25">
      <c r="A105" s="658">
        <f t="shared" si="7"/>
        <v>71</v>
      </c>
      <c r="B105" s="759" t="s">
        <v>507</v>
      </c>
      <c r="C105" s="659">
        <v>80101706</v>
      </c>
      <c r="D105" s="660" t="s">
        <v>508</v>
      </c>
      <c r="E105" s="759" t="s">
        <v>48</v>
      </c>
      <c r="F105" s="759">
        <v>1</v>
      </c>
      <c r="G105" s="661" t="s">
        <v>73</v>
      </c>
      <c r="H105" s="662">
        <v>5</v>
      </c>
      <c r="I105" s="759" t="s">
        <v>61</v>
      </c>
      <c r="J105" s="759" t="s">
        <v>66</v>
      </c>
      <c r="K105" s="759" t="s">
        <v>493</v>
      </c>
      <c r="L105" s="663">
        <v>15165000</v>
      </c>
      <c r="M105" s="664">
        <v>15165000</v>
      </c>
      <c r="N105" s="759" t="s">
        <v>51</v>
      </c>
      <c r="O105" s="759" t="s">
        <v>36</v>
      </c>
      <c r="P105" s="759" t="s">
        <v>502</v>
      </c>
      <c r="Q105" s="80"/>
      <c r="R105" s="665" t="s">
        <v>742</v>
      </c>
      <c r="S105" s="665" t="s">
        <v>1252</v>
      </c>
      <c r="T105" s="691">
        <v>43109</v>
      </c>
      <c r="U105" s="665" t="s">
        <v>743</v>
      </c>
      <c r="V105" s="665" t="s">
        <v>672</v>
      </c>
      <c r="W105" s="692">
        <v>15165000</v>
      </c>
      <c r="X105" s="692">
        <v>-13547400</v>
      </c>
      <c r="Y105" s="692">
        <v>1617600</v>
      </c>
      <c r="Z105" s="692">
        <f t="shared" si="10"/>
        <v>1617600</v>
      </c>
      <c r="AA105" s="665" t="s">
        <v>744</v>
      </c>
      <c r="AB105" s="665" t="s">
        <v>1284</v>
      </c>
      <c r="AC105" s="665" t="s">
        <v>693</v>
      </c>
      <c r="AD105" s="691">
        <v>43110</v>
      </c>
      <c r="AE105" s="691">
        <v>43260</v>
      </c>
      <c r="AF105" s="665" t="s">
        <v>237</v>
      </c>
      <c r="AG105" s="665" t="s">
        <v>682</v>
      </c>
    </row>
    <row r="106" spans="1:33" ht="156" customHeight="1" x14ac:dyDescent="0.25">
      <c r="A106" s="890">
        <f t="shared" si="7"/>
        <v>72</v>
      </c>
      <c r="B106" s="759" t="s">
        <v>507</v>
      </c>
      <c r="C106" s="659">
        <v>80101706</v>
      </c>
      <c r="D106" s="660" t="s">
        <v>508</v>
      </c>
      <c r="E106" s="759" t="s">
        <v>48</v>
      </c>
      <c r="F106" s="759">
        <v>1</v>
      </c>
      <c r="G106" s="661" t="s">
        <v>73</v>
      </c>
      <c r="H106" s="662">
        <v>5</v>
      </c>
      <c r="I106" s="759" t="s">
        <v>61</v>
      </c>
      <c r="J106" s="759" t="s">
        <v>66</v>
      </c>
      <c r="K106" s="759" t="s">
        <v>493</v>
      </c>
      <c r="L106" s="663">
        <v>30000000</v>
      </c>
      <c r="M106" s="664">
        <v>30000000</v>
      </c>
      <c r="N106" s="759" t="s">
        <v>51</v>
      </c>
      <c r="O106" s="759" t="s">
        <v>36</v>
      </c>
      <c r="P106" s="759" t="s">
        <v>502</v>
      </c>
      <c r="Q106" s="80"/>
      <c r="R106" s="748" t="s">
        <v>745</v>
      </c>
      <c r="S106" s="665" t="s">
        <v>746</v>
      </c>
      <c r="T106" s="691">
        <v>43109</v>
      </c>
      <c r="U106" s="665" t="s">
        <v>747</v>
      </c>
      <c r="V106" s="665" t="s">
        <v>672</v>
      </c>
      <c r="W106" s="692">
        <v>30000000</v>
      </c>
      <c r="X106" s="692"/>
      <c r="Y106" s="692">
        <f>W106+X106</f>
        <v>30000000</v>
      </c>
      <c r="Z106" s="692">
        <f t="shared" si="10"/>
        <v>30000000</v>
      </c>
      <c r="AA106" s="665" t="s">
        <v>748</v>
      </c>
      <c r="AB106" s="665" t="s">
        <v>1285</v>
      </c>
      <c r="AC106" s="665" t="s">
        <v>693</v>
      </c>
      <c r="AD106" s="691">
        <v>43110</v>
      </c>
      <c r="AE106" s="691">
        <v>43260</v>
      </c>
      <c r="AF106" s="665" t="s">
        <v>237</v>
      </c>
      <c r="AG106" s="665" t="s">
        <v>682</v>
      </c>
    </row>
    <row r="107" spans="1:33" ht="156" customHeight="1" x14ac:dyDescent="0.25">
      <c r="A107" s="891"/>
      <c r="B107" s="759" t="s">
        <v>507</v>
      </c>
      <c r="C107" s="659">
        <v>80101706</v>
      </c>
      <c r="D107" s="660" t="s">
        <v>508</v>
      </c>
      <c r="E107" s="759" t="s">
        <v>48</v>
      </c>
      <c r="F107" s="759">
        <v>1</v>
      </c>
      <c r="G107" s="661" t="s">
        <v>73</v>
      </c>
      <c r="H107" s="662">
        <v>5</v>
      </c>
      <c r="I107" s="759" t="s">
        <v>61</v>
      </c>
      <c r="J107" s="759" t="s">
        <v>66</v>
      </c>
      <c r="K107" s="759" t="s">
        <v>610</v>
      </c>
      <c r="L107" s="663">
        <v>6000000</v>
      </c>
      <c r="M107" s="664">
        <v>6000000</v>
      </c>
      <c r="N107" s="759" t="s">
        <v>51</v>
      </c>
      <c r="O107" s="759" t="s">
        <v>36</v>
      </c>
      <c r="P107" s="759" t="s">
        <v>502</v>
      </c>
      <c r="Q107" s="80"/>
      <c r="R107" s="748" t="s">
        <v>745</v>
      </c>
      <c r="S107" s="665"/>
      <c r="T107" s="691"/>
      <c r="U107" s="665"/>
      <c r="V107" s="665"/>
      <c r="W107" s="746">
        <v>0</v>
      </c>
      <c r="X107" s="746">
        <v>6000000</v>
      </c>
      <c r="Y107" s="746">
        <v>6000000</v>
      </c>
      <c r="Z107" s="746">
        <v>6000000</v>
      </c>
      <c r="AA107" s="665"/>
      <c r="AB107" s="665"/>
      <c r="AC107" s="665"/>
      <c r="AD107" s="691"/>
      <c r="AE107" s="691"/>
      <c r="AF107" s="665"/>
      <c r="AG107" s="665"/>
    </row>
    <row r="108" spans="1:33" ht="195" customHeight="1" x14ac:dyDescent="0.25">
      <c r="A108" s="658">
        <f>SUM(A106+1)</f>
        <v>73</v>
      </c>
      <c r="B108" s="759" t="s">
        <v>507</v>
      </c>
      <c r="C108" s="659">
        <v>80101706</v>
      </c>
      <c r="D108" s="660" t="s">
        <v>508</v>
      </c>
      <c r="E108" s="759" t="s">
        <v>48</v>
      </c>
      <c r="F108" s="759">
        <v>1</v>
      </c>
      <c r="G108" s="661" t="s">
        <v>73</v>
      </c>
      <c r="H108" s="662">
        <v>5</v>
      </c>
      <c r="I108" s="759" t="s">
        <v>61</v>
      </c>
      <c r="J108" s="759" t="s">
        <v>66</v>
      </c>
      <c r="K108" s="759" t="s">
        <v>493</v>
      </c>
      <c r="L108" s="663">
        <v>19475000</v>
      </c>
      <c r="M108" s="664">
        <v>19475000</v>
      </c>
      <c r="N108" s="759" t="s">
        <v>51</v>
      </c>
      <c r="O108" s="759" t="s">
        <v>36</v>
      </c>
      <c r="P108" s="759" t="s">
        <v>502</v>
      </c>
      <c r="Q108" s="80"/>
      <c r="R108" s="665" t="s">
        <v>749</v>
      </c>
      <c r="S108" s="665" t="s">
        <v>750</v>
      </c>
      <c r="T108" s="691">
        <v>43109</v>
      </c>
      <c r="U108" s="665" t="s">
        <v>751</v>
      </c>
      <c r="V108" s="665" t="s">
        <v>672</v>
      </c>
      <c r="W108" s="692">
        <v>19475000</v>
      </c>
      <c r="X108" s="692">
        <v>0</v>
      </c>
      <c r="Y108" s="692">
        <v>19475000</v>
      </c>
      <c r="Z108" s="692">
        <v>19475000</v>
      </c>
      <c r="AA108" s="665" t="s">
        <v>698</v>
      </c>
      <c r="AB108" s="665" t="s">
        <v>1286</v>
      </c>
      <c r="AC108" s="665" t="s">
        <v>693</v>
      </c>
      <c r="AD108" s="691">
        <v>43115</v>
      </c>
      <c r="AE108" s="691">
        <v>43265</v>
      </c>
      <c r="AF108" s="665" t="s">
        <v>1253</v>
      </c>
      <c r="AG108" s="665" t="s">
        <v>682</v>
      </c>
    </row>
    <row r="109" spans="1:33" ht="58.9" customHeight="1" x14ac:dyDescent="0.25">
      <c r="A109" s="890">
        <f t="shared" si="7"/>
        <v>74</v>
      </c>
      <c r="B109" s="759" t="s">
        <v>286</v>
      </c>
      <c r="C109" s="659">
        <v>80101706</v>
      </c>
      <c r="D109" s="660" t="s">
        <v>512</v>
      </c>
      <c r="E109" s="759" t="s">
        <v>48</v>
      </c>
      <c r="F109" s="759">
        <v>1</v>
      </c>
      <c r="G109" s="661" t="s">
        <v>73</v>
      </c>
      <c r="H109" s="662">
        <v>5</v>
      </c>
      <c r="I109" s="759" t="s">
        <v>61</v>
      </c>
      <c r="J109" s="759" t="s">
        <v>66</v>
      </c>
      <c r="K109" s="759" t="s">
        <v>473</v>
      </c>
      <c r="L109" s="663">
        <v>12500000</v>
      </c>
      <c r="M109" s="664">
        <v>12500000</v>
      </c>
      <c r="N109" s="759" t="s">
        <v>51</v>
      </c>
      <c r="O109" s="759" t="s">
        <v>36</v>
      </c>
      <c r="P109" s="759" t="s">
        <v>513</v>
      </c>
      <c r="Q109" s="80"/>
      <c r="R109" s="748" t="s">
        <v>752</v>
      </c>
      <c r="S109" s="886" t="s">
        <v>234</v>
      </c>
      <c r="T109" s="691">
        <v>43105</v>
      </c>
      <c r="U109" s="665" t="s">
        <v>753</v>
      </c>
      <c r="V109" s="665" t="s">
        <v>672</v>
      </c>
      <c r="W109" s="692">
        <v>15000000</v>
      </c>
      <c r="X109" s="692"/>
      <c r="Y109" s="692">
        <f t="shared" ref="Y109:Y114" si="11">SUM(W109+X109)</f>
        <v>15000000</v>
      </c>
      <c r="Z109" s="692">
        <f>Y109</f>
        <v>15000000</v>
      </c>
      <c r="AA109" s="896" t="s">
        <v>754</v>
      </c>
      <c r="AB109" s="886">
        <v>1918</v>
      </c>
      <c r="AC109" s="896" t="s">
        <v>693</v>
      </c>
      <c r="AD109" s="894">
        <v>43105</v>
      </c>
      <c r="AE109" s="894">
        <v>43255</v>
      </c>
      <c r="AF109" s="896" t="s">
        <v>755</v>
      </c>
      <c r="AG109" s="898" t="s">
        <v>756</v>
      </c>
    </row>
    <row r="110" spans="1:33" ht="97.9" customHeight="1" x14ac:dyDescent="0.25">
      <c r="A110" s="900"/>
      <c r="B110" s="759" t="s">
        <v>286</v>
      </c>
      <c r="C110" s="659">
        <v>80101706</v>
      </c>
      <c r="D110" s="660" t="s">
        <v>512</v>
      </c>
      <c r="E110" s="759" t="s">
        <v>48</v>
      </c>
      <c r="F110" s="759">
        <v>1</v>
      </c>
      <c r="G110" s="661" t="s">
        <v>73</v>
      </c>
      <c r="H110" s="662">
        <v>5</v>
      </c>
      <c r="I110" s="759" t="s">
        <v>61</v>
      </c>
      <c r="J110" s="759" t="s">
        <v>66</v>
      </c>
      <c r="K110" s="759" t="s">
        <v>493</v>
      </c>
      <c r="L110" s="663">
        <v>12500000</v>
      </c>
      <c r="M110" s="664">
        <v>12500000</v>
      </c>
      <c r="N110" s="759" t="s">
        <v>51</v>
      </c>
      <c r="O110" s="759" t="s">
        <v>36</v>
      </c>
      <c r="P110" s="759" t="s">
        <v>513</v>
      </c>
      <c r="Q110" s="80"/>
      <c r="R110" s="748" t="s">
        <v>752</v>
      </c>
      <c r="S110" s="901"/>
      <c r="T110" s="691"/>
      <c r="U110" s="665"/>
      <c r="V110" s="665"/>
      <c r="W110" s="692">
        <v>15000000</v>
      </c>
      <c r="X110" s="692"/>
      <c r="Y110" s="692">
        <f t="shared" si="11"/>
        <v>15000000</v>
      </c>
      <c r="Z110" s="675">
        <f>W110</f>
        <v>15000000</v>
      </c>
      <c r="AA110" s="897"/>
      <c r="AB110" s="887"/>
      <c r="AC110" s="897"/>
      <c r="AD110" s="895"/>
      <c r="AE110" s="895"/>
      <c r="AF110" s="897"/>
      <c r="AG110" s="899"/>
    </row>
    <row r="111" spans="1:33" ht="81.599999999999994" customHeight="1" x14ac:dyDescent="0.25">
      <c r="A111" s="890">
        <f>SUM(A109+1)</f>
        <v>75</v>
      </c>
      <c r="B111" s="759" t="s">
        <v>286</v>
      </c>
      <c r="C111" s="659">
        <v>80101706</v>
      </c>
      <c r="D111" s="660" t="s">
        <v>512</v>
      </c>
      <c r="E111" s="759" t="s">
        <v>48</v>
      </c>
      <c r="F111" s="759">
        <v>1</v>
      </c>
      <c r="G111" s="661" t="s">
        <v>73</v>
      </c>
      <c r="H111" s="662">
        <v>5</v>
      </c>
      <c r="I111" s="759" t="s">
        <v>61</v>
      </c>
      <c r="J111" s="759" t="s">
        <v>66</v>
      </c>
      <c r="K111" s="759" t="s">
        <v>473</v>
      </c>
      <c r="L111" s="663">
        <v>12500000</v>
      </c>
      <c r="M111" s="664">
        <v>12500000</v>
      </c>
      <c r="N111" s="759" t="s">
        <v>51</v>
      </c>
      <c r="O111" s="759" t="s">
        <v>36</v>
      </c>
      <c r="P111" s="759" t="s">
        <v>513</v>
      </c>
      <c r="Q111" s="80"/>
      <c r="R111" s="748" t="s">
        <v>757</v>
      </c>
      <c r="S111" s="886" t="s">
        <v>758</v>
      </c>
      <c r="T111" s="691">
        <v>43105</v>
      </c>
      <c r="U111" s="665" t="s">
        <v>753</v>
      </c>
      <c r="V111" s="665" t="s">
        <v>672</v>
      </c>
      <c r="W111" s="692">
        <v>15000000</v>
      </c>
      <c r="X111" s="692"/>
      <c r="Y111" s="692">
        <f t="shared" si="11"/>
        <v>15000000</v>
      </c>
      <c r="Z111" s="692">
        <f>Y111</f>
        <v>15000000</v>
      </c>
      <c r="AA111" s="896" t="s">
        <v>754</v>
      </c>
      <c r="AB111" s="886">
        <v>2018</v>
      </c>
      <c r="AC111" s="896" t="s">
        <v>693</v>
      </c>
      <c r="AD111" s="894">
        <v>43105</v>
      </c>
      <c r="AE111" s="894">
        <v>43255</v>
      </c>
      <c r="AF111" s="896" t="s">
        <v>755</v>
      </c>
      <c r="AG111" s="898" t="s">
        <v>756</v>
      </c>
    </row>
    <row r="112" spans="1:33" ht="81.599999999999994" customHeight="1" x14ac:dyDescent="0.25">
      <c r="A112" s="900"/>
      <c r="B112" s="759" t="s">
        <v>286</v>
      </c>
      <c r="C112" s="659">
        <v>80101706</v>
      </c>
      <c r="D112" s="660" t="s">
        <v>512</v>
      </c>
      <c r="E112" s="759" t="s">
        <v>48</v>
      </c>
      <c r="F112" s="759">
        <v>1</v>
      </c>
      <c r="G112" s="661" t="s">
        <v>73</v>
      </c>
      <c r="H112" s="662">
        <v>5</v>
      </c>
      <c r="I112" s="759" t="s">
        <v>61</v>
      </c>
      <c r="J112" s="759" t="s">
        <v>66</v>
      </c>
      <c r="K112" s="759" t="s">
        <v>493</v>
      </c>
      <c r="L112" s="663">
        <v>12500000</v>
      </c>
      <c r="M112" s="664">
        <v>12500000</v>
      </c>
      <c r="N112" s="759" t="s">
        <v>51</v>
      </c>
      <c r="O112" s="759" t="s">
        <v>36</v>
      </c>
      <c r="P112" s="759" t="s">
        <v>513</v>
      </c>
      <c r="Q112" s="80"/>
      <c r="R112" s="748" t="s">
        <v>757</v>
      </c>
      <c r="S112" s="901"/>
      <c r="T112" s="691"/>
      <c r="U112" s="665"/>
      <c r="V112" s="665"/>
      <c r="W112" s="692">
        <v>15000000</v>
      </c>
      <c r="X112" s="692"/>
      <c r="Y112" s="692">
        <f t="shared" si="11"/>
        <v>15000000</v>
      </c>
      <c r="Z112" s="675">
        <f>W112</f>
        <v>15000000</v>
      </c>
      <c r="AA112" s="897"/>
      <c r="AB112" s="887"/>
      <c r="AC112" s="897"/>
      <c r="AD112" s="895"/>
      <c r="AE112" s="895"/>
      <c r="AF112" s="897"/>
      <c r="AG112" s="899"/>
    </row>
    <row r="113" spans="1:33" ht="126" customHeight="1" x14ac:dyDescent="0.25">
      <c r="A113" s="890">
        <f>SUM(A111+1)</f>
        <v>76</v>
      </c>
      <c r="B113" s="759" t="s">
        <v>286</v>
      </c>
      <c r="C113" s="659">
        <v>80101706</v>
      </c>
      <c r="D113" s="660" t="s">
        <v>514</v>
      </c>
      <c r="E113" s="759" t="s">
        <v>48</v>
      </c>
      <c r="F113" s="759">
        <v>1</v>
      </c>
      <c r="G113" s="661" t="s">
        <v>73</v>
      </c>
      <c r="H113" s="662">
        <v>5</v>
      </c>
      <c r="I113" s="759" t="s">
        <v>61</v>
      </c>
      <c r="J113" s="759" t="s">
        <v>66</v>
      </c>
      <c r="K113" s="759" t="s">
        <v>473</v>
      </c>
      <c r="L113" s="663">
        <v>4772500</v>
      </c>
      <c r="M113" s="664">
        <v>4772500</v>
      </c>
      <c r="N113" s="759" t="s">
        <v>51</v>
      </c>
      <c r="O113" s="759" t="s">
        <v>36</v>
      </c>
      <c r="P113" s="759" t="s">
        <v>513</v>
      </c>
      <c r="Q113" s="80"/>
      <c r="R113" s="748" t="s">
        <v>759</v>
      </c>
      <c r="S113" s="886" t="s">
        <v>760</v>
      </c>
      <c r="T113" s="691">
        <v>43109</v>
      </c>
      <c r="U113" s="665" t="s">
        <v>761</v>
      </c>
      <c r="V113" s="665" t="s">
        <v>672</v>
      </c>
      <c r="W113" s="746">
        <v>5727000</v>
      </c>
      <c r="X113" s="746"/>
      <c r="Y113" s="746">
        <v>5727000</v>
      </c>
      <c r="Z113" s="746">
        <f>Y113</f>
        <v>5727000</v>
      </c>
      <c r="AA113" s="896" t="s">
        <v>762</v>
      </c>
      <c r="AB113" s="886">
        <v>2118</v>
      </c>
      <c r="AC113" s="896" t="s">
        <v>693</v>
      </c>
      <c r="AD113" s="894">
        <v>43110</v>
      </c>
      <c r="AE113" s="894">
        <v>43260</v>
      </c>
      <c r="AF113" s="896" t="s">
        <v>755</v>
      </c>
      <c r="AG113" s="898" t="s">
        <v>756</v>
      </c>
    </row>
    <row r="114" spans="1:33" ht="138.75" customHeight="1" x14ac:dyDescent="0.25">
      <c r="A114" s="900"/>
      <c r="B114" s="759" t="s">
        <v>286</v>
      </c>
      <c r="C114" s="659">
        <v>80101706</v>
      </c>
      <c r="D114" s="660" t="s">
        <v>514</v>
      </c>
      <c r="E114" s="759" t="s">
        <v>48</v>
      </c>
      <c r="F114" s="759">
        <v>1</v>
      </c>
      <c r="G114" s="661" t="s">
        <v>73</v>
      </c>
      <c r="H114" s="662">
        <v>5</v>
      </c>
      <c r="I114" s="759" t="s">
        <v>61</v>
      </c>
      <c r="J114" s="759" t="s">
        <v>66</v>
      </c>
      <c r="K114" s="759" t="s">
        <v>493</v>
      </c>
      <c r="L114" s="663">
        <v>4772500</v>
      </c>
      <c r="M114" s="664">
        <v>4772500</v>
      </c>
      <c r="N114" s="759" t="s">
        <v>51</v>
      </c>
      <c r="O114" s="759" t="s">
        <v>36</v>
      </c>
      <c r="P114" s="759" t="s">
        <v>513</v>
      </c>
      <c r="Q114" s="80"/>
      <c r="R114" s="748" t="s">
        <v>759</v>
      </c>
      <c r="S114" s="901"/>
      <c r="T114" s="691"/>
      <c r="U114" s="665"/>
      <c r="V114" s="665"/>
      <c r="W114" s="746">
        <v>5727000</v>
      </c>
      <c r="X114" s="746"/>
      <c r="Y114" s="746">
        <f t="shared" si="11"/>
        <v>5727000</v>
      </c>
      <c r="Z114" s="746">
        <v>5727000</v>
      </c>
      <c r="AA114" s="897"/>
      <c r="AB114" s="887"/>
      <c r="AC114" s="897"/>
      <c r="AD114" s="895"/>
      <c r="AE114" s="895"/>
      <c r="AF114" s="897"/>
      <c r="AG114" s="899"/>
    </row>
    <row r="115" spans="1:33" ht="116.25" customHeight="1" x14ac:dyDescent="0.25">
      <c r="A115" s="890">
        <v>77</v>
      </c>
      <c r="B115" s="759" t="s">
        <v>235</v>
      </c>
      <c r="C115" s="659">
        <v>80101706</v>
      </c>
      <c r="D115" s="660" t="s">
        <v>541</v>
      </c>
      <c r="E115" s="759" t="s">
        <v>48</v>
      </c>
      <c r="F115" s="759">
        <v>1</v>
      </c>
      <c r="G115" s="661" t="s">
        <v>73</v>
      </c>
      <c r="H115" s="662">
        <v>5</v>
      </c>
      <c r="I115" s="759" t="s">
        <v>61</v>
      </c>
      <c r="J115" s="759" t="s">
        <v>66</v>
      </c>
      <c r="K115" s="759" t="s">
        <v>493</v>
      </c>
      <c r="L115" s="663">
        <v>28500000</v>
      </c>
      <c r="M115" s="664">
        <v>28500000</v>
      </c>
      <c r="N115" s="759" t="s">
        <v>51</v>
      </c>
      <c r="O115" s="759" t="s">
        <v>36</v>
      </c>
      <c r="P115" s="759" t="s">
        <v>499</v>
      </c>
      <c r="Q115" s="80"/>
      <c r="R115" s="748" t="s">
        <v>763</v>
      </c>
      <c r="S115" s="665" t="s">
        <v>764</v>
      </c>
      <c r="T115" s="691">
        <v>43109</v>
      </c>
      <c r="U115" s="665" t="s">
        <v>765</v>
      </c>
      <c r="V115" s="665" t="s">
        <v>672</v>
      </c>
      <c r="W115" s="692">
        <v>28500000</v>
      </c>
      <c r="X115" s="692"/>
      <c r="Y115" s="692">
        <f t="shared" ref="Y115" si="12">W115+X115</f>
        <v>28500000</v>
      </c>
      <c r="Z115" s="692">
        <f t="shared" ref="Z115:Z117" si="13">Y115</f>
        <v>28500000</v>
      </c>
      <c r="AA115" s="665" t="s">
        <v>766</v>
      </c>
      <c r="AB115" s="665" t="s">
        <v>1287</v>
      </c>
      <c r="AC115" s="665" t="s">
        <v>693</v>
      </c>
      <c r="AD115" s="691">
        <v>43116</v>
      </c>
      <c r="AE115" s="691">
        <v>43266</v>
      </c>
      <c r="AF115" s="665" t="s">
        <v>703</v>
      </c>
      <c r="AG115" s="665" t="s">
        <v>235</v>
      </c>
    </row>
    <row r="116" spans="1:33" ht="116.25" customHeight="1" x14ac:dyDescent="0.25">
      <c r="A116" s="891"/>
      <c r="B116" s="759" t="s">
        <v>235</v>
      </c>
      <c r="C116" s="659">
        <v>80101706</v>
      </c>
      <c r="D116" s="660" t="s">
        <v>541</v>
      </c>
      <c r="E116" s="759" t="s">
        <v>48</v>
      </c>
      <c r="F116" s="759">
        <v>1</v>
      </c>
      <c r="G116" s="661" t="s">
        <v>73</v>
      </c>
      <c r="H116" s="662">
        <v>5</v>
      </c>
      <c r="I116" s="759" t="s">
        <v>61</v>
      </c>
      <c r="J116" s="759" t="s">
        <v>66</v>
      </c>
      <c r="K116" s="759" t="s">
        <v>610</v>
      </c>
      <c r="L116" s="663">
        <v>5700000</v>
      </c>
      <c r="M116" s="664">
        <v>5700000</v>
      </c>
      <c r="N116" s="759" t="s">
        <v>51</v>
      </c>
      <c r="O116" s="759" t="s">
        <v>36</v>
      </c>
      <c r="P116" s="759" t="s">
        <v>499</v>
      </c>
      <c r="Q116" s="80"/>
      <c r="R116" s="748" t="s">
        <v>763</v>
      </c>
      <c r="S116" s="665"/>
      <c r="T116" s="691"/>
      <c r="U116" s="665"/>
      <c r="V116" s="665"/>
      <c r="W116" s="746"/>
      <c r="X116" s="746">
        <v>5700000</v>
      </c>
      <c r="Y116" s="746">
        <v>5700000</v>
      </c>
      <c r="Z116" s="746">
        <v>5700000</v>
      </c>
      <c r="AA116" s="665"/>
      <c r="AB116" s="665"/>
      <c r="AC116" s="665"/>
      <c r="AD116" s="691"/>
      <c r="AE116" s="691"/>
      <c r="AF116" s="665"/>
      <c r="AG116" s="665"/>
    </row>
    <row r="117" spans="1:33" ht="117" customHeight="1" x14ac:dyDescent="0.25">
      <c r="A117" s="658">
        <f>SUM(A115+1)</f>
        <v>78</v>
      </c>
      <c r="B117" s="759" t="s">
        <v>515</v>
      </c>
      <c r="C117" s="659">
        <v>80101706</v>
      </c>
      <c r="D117" s="660" t="s">
        <v>516</v>
      </c>
      <c r="E117" s="759" t="s">
        <v>48</v>
      </c>
      <c r="F117" s="759">
        <v>1</v>
      </c>
      <c r="G117" s="661" t="s">
        <v>73</v>
      </c>
      <c r="H117" s="662">
        <v>5</v>
      </c>
      <c r="I117" s="759" t="s">
        <v>61</v>
      </c>
      <c r="J117" s="759" t="s">
        <v>66</v>
      </c>
      <c r="K117" s="759" t="s">
        <v>473</v>
      </c>
      <c r="L117" s="663">
        <v>26155000</v>
      </c>
      <c r="M117" s="664">
        <v>26155000</v>
      </c>
      <c r="N117" s="759" t="s">
        <v>51</v>
      </c>
      <c r="O117" s="759" t="s">
        <v>36</v>
      </c>
      <c r="P117" s="759" t="s">
        <v>517</v>
      </c>
      <c r="Q117" s="80"/>
      <c r="R117" s="665" t="s">
        <v>767</v>
      </c>
      <c r="S117" s="665" t="s">
        <v>280</v>
      </c>
      <c r="T117" s="691">
        <v>43109</v>
      </c>
      <c r="U117" s="665" t="s">
        <v>768</v>
      </c>
      <c r="V117" s="665" t="s">
        <v>672</v>
      </c>
      <c r="W117" s="692">
        <v>26155000</v>
      </c>
      <c r="X117" s="692">
        <v>5231000</v>
      </c>
      <c r="Y117" s="692">
        <f>W117+X117</f>
        <v>31386000</v>
      </c>
      <c r="Z117" s="692">
        <f t="shared" si="13"/>
        <v>31386000</v>
      </c>
      <c r="AA117" s="665" t="s">
        <v>769</v>
      </c>
      <c r="AB117" s="665" t="s">
        <v>1288</v>
      </c>
      <c r="AC117" s="665" t="s">
        <v>693</v>
      </c>
      <c r="AD117" s="691">
        <v>43110</v>
      </c>
      <c r="AE117" s="691">
        <v>43260</v>
      </c>
      <c r="AF117" s="665" t="s">
        <v>770</v>
      </c>
      <c r="AG117" s="665" t="s">
        <v>771</v>
      </c>
    </row>
    <row r="118" spans="1:33" ht="136.5" customHeight="1" x14ac:dyDescent="0.25">
      <c r="A118" s="658">
        <f t="shared" ref="A118:A146" si="14">SUM(A117+1)</f>
        <v>79</v>
      </c>
      <c r="B118" s="759" t="s">
        <v>247</v>
      </c>
      <c r="C118" s="659">
        <v>80101706</v>
      </c>
      <c r="D118" s="660" t="s">
        <v>542</v>
      </c>
      <c r="E118" s="759" t="s">
        <v>48</v>
      </c>
      <c r="F118" s="759">
        <v>1</v>
      </c>
      <c r="G118" s="661" t="s">
        <v>73</v>
      </c>
      <c r="H118" s="662">
        <v>8</v>
      </c>
      <c r="I118" s="759" t="s">
        <v>61</v>
      </c>
      <c r="J118" s="759" t="s">
        <v>35</v>
      </c>
      <c r="K118" s="759" t="s">
        <v>439</v>
      </c>
      <c r="L118" s="663">
        <v>14400000</v>
      </c>
      <c r="M118" s="664">
        <v>14400000</v>
      </c>
      <c r="N118" s="759" t="s">
        <v>51</v>
      </c>
      <c r="O118" s="759" t="s">
        <v>36</v>
      </c>
      <c r="P118" s="759" t="s">
        <v>511</v>
      </c>
      <c r="Q118" s="80"/>
      <c r="R118" s="665" t="s">
        <v>772</v>
      </c>
      <c r="S118" s="665" t="s">
        <v>581</v>
      </c>
      <c r="T118" s="691">
        <v>43117</v>
      </c>
      <c r="U118" s="665" t="s">
        <v>773</v>
      </c>
      <c r="V118" s="665" t="s">
        <v>679</v>
      </c>
      <c r="W118" s="692">
        <v>14400000</v>
      </c>
      <c r="X118" s="692">
        <v>0</v>
      </c>
      <c r="Y118" s="692">
        <v>14400000</v>
      </c>
      <c r="Z118" s="692">
        <v>14400000</v>
      </c>
      <c r="AA118" s="665" t="s">
        <v>774</v>
      </c>
      <c r="AB118" s="665" t="s">
        <v>1289</v>
      </c>
      <c r="AC118" s="665" t="s">
        <v>681</v>
      </c>
      <c r="AD118" s="691">
        <v>43118</v>
      </c>
      <c r="AE118" s="691">
        <v>43360</v>
      </c>
      <c r="AF118" s="665" t="s">
        <v>775</v>
      </c>
      <c r="AG118" s="665" t="s">
        <v>247</v>
      </c>
    </row>
    <row r="119" spans="1:33" ht="156" customHeight="1" x14ac:dyDescent="0.25">
      <c r="A119" s="658">
        <f t="shared" si="14"/>
        <v>80</v>
      </c>
      <c r="B119" s="759" t="s">
        <v>170</v>
      </c>
      <c r="C119" s="659">
        <v>80101706</v>
      </c>
      <c r="D119" s="660" t="s">
        <v>524</v>
      </c>
      <c r="E119" s="759" t="s">
        <v>48</v>
      </c>
      <c r="F119" s="759">
        <v>1</v>
      </c>
      <c r="G119" s="661" t="s">
        <v>73</v>
      </c>
      <c r="H119" s="662">
        <v>5</v>
      </c>
      <c r="I119" s="759" t="s">
        <v>61</v>
      </c>
      <c r="J119" s="759" t="s">
        <v>66</v>
      </c>
      <c r="K119" s="759" t="s">
        <v>473</v>
      </c>
      <c r="L119" s="663">
        <v>31500000</v>
      </c>
      <c r="M119" s="664">
        <v>31500000</v>
      </c>
      <c r="N119" s="759" t="s">
        <v>51</v>
      </c>
      <c r="O119" s="759" t="s">
        <v>36</v>
      </c>
      <c r="P119" s="759" t="s">
        <v>525</v>
      </c>
      <c r="Q119" s="80"/>
      <c r="R119" s="665" t="s">
        <v>776</v>
      </c>
      <c r="S119" s="665" t="s">
        <v>777</v>
      </c>
      <c r="T119" s="691">
        <v>43109</v>
      </c>
      <c r="U119" s="665" t="s">
        <v>778</v>
      </c>
      <c r="V119" s="665" t="s">
        <v>672</v>
      </c>
      <c r="W119" s="692">
        <v>31500000</v>
      </c>
      <c r="X119" s="692">
        <v>0</v>
      </c>
      <c r="Y119" s="692">
        <v>31500000</v>
      </c>
      <c r="Z119" s="692">
        <v>31500000</v>
      </c>
      <c r="AA119" s="665" t="s">
        <v>779</v>
      </c>
      <c r="AB119" s="665" t="s">
        <v>1290</v>
      </c>
      <c r="AC119" s="665" t="s">
        <v>693</v>
      </c>
      <c r="AD119" s="691">
        <v>43111</v>
      </c>
      <c r="AE119" s="691">
        <v>43261</v>
      </c>
      <c r="AF119" s="665" t="s">
        <v>780</v>
      </c>
      <c r="AG119" s="665" t="s">
        <v>781</v>
      </c>
    </row>
    <row r="120" spans="1:33" ht="93" customHeight="1" x14ac:dyDescent="0.25">
      <c r="A120" s="586">
        <f t="shared" si="14"/>
        <v>81</v>
      </c>
      <c r="B120" s="651" t="s">
        <v>267</v>
      </c>
      <c r="C120" s="652">
        <v>44121505</v>
      </c>
      <c r="D120" s="653" t="s">
        <v>543</v>
      </c>
      <c r="E120" s="651" t="s">
        <v>48</v>
      </c>
      <c r="F120" s="651">
        <v>1</v>
      </c>
      <c r="G120" s="654" t="s">
        <v>166</v>
      </c>
      <c r="H120" s="655" t="s">
        <v>156</v>
      </c>
      <c r="I120" s="651" t="s">
        <v>173</v>
      </c>
      <c r="J120" s="651" t="s">
        <v>35</v>
      </c>
      <c r="K120" s="651" t="s">
        <v>41</v>
      </c>
      <c r="L120" s="656"/>
      <c r="M120" s="657"/>
      <c r="N120" s="651" t="s">
        <v>51</v>
      </c>
      <c r="O120" s="651" t="s">
        <v>36</v>
      </c>
      <c r="P120" s="651" t="s">
        <v>544</v>
      </c>
      <c r="Q120" s="80"/>
      <c r="R120" s="673" t="s">
        <v>148</v>
      </c>
      <c r="S120" s="673" t="s">
        <v>148</v>
      </c>
      <c r="T120" s="693" t="s">
        <v>148</v>
      </c>
      <c r="U120" s="673" t="s">
        <v>148</v>
      </c>
      <c r="V120" s="673" t="s">
        <v>148</v>
      </c>
      <c r="W120" s="694">
        <v>0</v>
      </c>
      <c r="X120" s="694">
        <v>0</v>
      </c>
      <c r="Y120" s="694">
        <v>0</v>
      </c>
      <c r="Z120" s="694">
        <v>0</v>
      </c>
      <c r="AA120" s="673" t="s">
        <v>148</v>
      </c>
      <c r="AB120" s="673" t="s">
        <v>148</v>
      </c>
      <c r="AC120" s="673" t="s">
        <v>148</v>
      </c>
      <c r="AD120" s="693" t="s">
        <v>148</v>
      </c>
      <c r="AE120" s="693" t="s">
        <v>148</v>
      </c>
      <c r="AF120" s="673" t="s">
        <v>148</v>
      </c>
      <c r="AG120" s="673" t="s">
        <v>148</v>
      </c>
    </row>
    <row r="121" spans="1:33" ht="175.5" customHeight="1" x14ac:dyDescent="0.25">
      <c r="A121" s="658">
        <f t="shared" si="14"/>
        <v>82</v>
      </c>
      <c r="B121" s="759" t="s">
        <v>170</v>
      </c>
      <c r="C121" s="659">
        <v>80101706</v>
      </c>
      <c r="D121" s="660" t="s">
        <v>524</v>
      </c>
      <c r="E121" s="759" t="s">
        <v>48</v>
      </c>
      <c r="F121" s="759">
        <v>1</v>
      </c>
      <c r="G121" s="661" t="s">
        <v>73</v>
      </c>
      <c r="H121" s="662">
        <v>5</v>
      </c>
      <c r="I121" s="759" t="s">
        <v>61</v>
      </c>
      <c r="J121" s="759" t="s">
        <v>66</v>
      </c>
      <c r="K121" s="759" t="s">
        <v>473</v>
      </c>
      <c r="L121" s="663">
        <v>43680000</v>
      </c>
      <c r="M121" s="664">
        <v>43680000</v>
      </c>
      <c r="N121" s="759" t="s">
        <v>51</v>
      </c>
      <c r="O121" s="759" t="s">
        <v>36</v>
      </c>
      <c r="P121" s="759" t="s">
        <v>525</v>
      </c>
      <c r="Q121" s="80"/>
      <c r="R121" s="665" t="s">
        <v>782</v>
      </c>
      <c r="S121" s="665" t="s">
        <v>783</v>
      </c>
      <c r="T121" s="691">
        <v>43109</v>
      </c>
      <c r="U121" s="665" t="s">
        <v>784</v>
      </c>
      <c r="V121" s="665" t="s">
        <v>672</v>
      </c>
      <c r="W121" s="692">
        <v>43680000</v>
      </c>
      <c r="X121" s="692">
        <v>0</v>
      </c>
      <c r="Y121" s="692">
        <v>43680000</v>
      </c>
      <c r="Z121" s="692">
        <v>43680000</v>
      </c>
      <c r="AA121" s="665" t="s">
        <v>785</v>
      </c>
      <c r="AB121" s="665" t="s">
        <v>1291</v>
      </c>
      <c r="AC121" s="665" t="s">
        <v>693</v>
      </c>
      <c r="AD121" s="691">
        <v>43112</v>
      </c>
      <c r="AE121" s="691">
        <v>43262</v>
      </c>
      <c r="AF121" s="665" t="s">
        <v>780</v>
      </c>
      <c r="AG121" s="665" t="s">
        <v>781</v>
      </c>
    </row>
    <row r="122" spans="1:33" ht="175.5" customHeight="1" x14ac:dyDescent="0.25">
      <c r="A122" s="658">
        <f t="shared" si="14"/>
        <v>83</v>
      </c>
      <c r="B122" s="759" t="s">
        <v>170</v>
      </c>
      <c r="C122" s="659">
        <v>80101706</v>
      </c>
      <c r="D122" s="660" t="s">
        <v>524</v>
      </c>
      <c r="E122" s="759" t="s">
        <v>48</v>
      </c>
      <c r="F122" s="759">
        <v>1</v>
      </c>
      <c r="G122" s="661" t="s">
        <v>73</v>
      </c>
      <c r="H122" s="662">
        <v>5</v>
      </c>
      <c r="I122" s="759" t="s">
        <v>61</v>
      </c>
      <c r="J122" s="759" t="s">
        <v>66</v>
      </c>
      <c r="K122" s="759" t="s">
        <v>473</v>
      </c>
      <c r="L122" s="663">
        <v>40000000</v>
      </c>
      <c r="M122" s="664">
        <v>40000000</v>
      </c>
      <c r="N122" s="759" t="s">
        <v>51</v>
      </c>
      <c r="O122" s="759" t="s">
        <v>36</v>
      </c>
      <c r="P122" s="759" t="s">
        <v>525</v>
      </c>
      <c r="Q122" s="80"/>
      <c r="R122" s="665" t="s">
        <v>786</v>
      </c>
      <c r="S122" s="665" t="s">
        <v>787</v>
      </c>
      <c r="T122" s="691">
        <v>43115</v>
      </c>
      <c r="U122" s="665" t="s">
        <v>788</v>
      </c>
      <c r="V122" s="665" t="s">
        <v>672</v>
      </c>
      <c r="W122" s="692">
        <v>40000000</v>
      </c>
      <c r="X122" s="692">
        <v>0</v>
      </c>
      <c r="Y122" s="692">
        <v>40000000</v>
      </c>
      <c r="Z122" s="692">
        <v>40000000</v>
      </c>
      <c r="AA122" s="665" t="s">
        <v>789</v>
      </c>
      <c r="AB122" s="665" t="s">
        <v>1292</v>
      </c>
      <c r="AC122" s="665" t="s">
        <v>693</v>
      </c>
      <c r="AD122" s="691">
        <v>43117</v>
      </c>
      <c r="AE122" s="691">
        <v>43267</v>
      </c>
      <c r="AF122" s="665" t="s">
        <v>780</v>
      </c>
      <c r="AG122" s="665" t="s">
        <v>781</v>
      </c>
    </row>
    <row r="123" spans="1:33" ht="156" customHeight="1" x14ac:dyDescent="0.25">
      <c r="A123" s="658">
        <f t="shared" si="14"/>
        <v>84</v>
      </c>
      <c r="B123" s="759" t="s">
        <v>518</v>
      </c>
      <c r="C123" s="659">
        <v>80101706</v>
      </c>
      <c r="D123" s="660" t="s">
        <v>519</v>
      </c>
      <c r="E123" s="759" t="s">
        <v>48</v>
      </c>
      <c r="F123" s="759">
        <v>1</v>
      </c>
      <c r="G123" s="661" t="s">
        <v>73</v>
      </c>
      <c r="H123" s="662">
        <v>5</v>
      </c>
      <c r="I123" s="759" t="s">
        <v>61</v>
      </c>
      <c r="J123" s="759" t="s">
        <v>35</v>
      </c>
      <c r="K123" s="759" t="s">
        <v>439</v>
      </c>
      <c r="L123" s="663">
        <v>30000000</v>
      </c>
      <c r="M123" s="664">
        <v>30000000</v>
      </c>
      <c r="N123" s="759" t="s">
        <v>51</v>
      </c>
      <c r="O123" s="759" t="s">
        <v>36</v>
      </c>
      <c r="P123" s="759" t="s">
        <v>475</v>
      </c>
      <c r="Q123" s="80"/>
      <c r="R123" s="665" t="s">
        <v>790</v>
      </c>
      <c r="S123" s="665" t="s">
        <v>791</v>
      </c>
      <c r="T123" s="691">
        <v>43109</v>
      </c>
      <c r="U123" s="665" t="s">
        <v>792</v>
      </c>
      <c r="V123" s="665" t="s">
        <v>672</v>
      </c>
      <c r="W123" s="692">
        <v>30000000</v>
      </c>
      <c r="X123" s="692">
        <v>0</v>
      </c>
      <c r="Y123" s="692">
        <v>30000000</v>
      </c>
      <c r="Z123" s="692">
        <v>30000000</v>
      </c>
      <c r="AA123" s="665" t="s">
        <v>793</v>
      </c>
      <c r="AB123" s="665" t="s">
        <v>1293</v>
      </c>
      <c r="AC123" s="665" t="s">
        <v>794</v>
      </c>
      <c r="AD123" s="691">
        <v>43109</v>
      </c>
      <c r="AE123" s="691">
        <v>43289</v>
      </c>
      <c r="AF123" s="665" t="s">
        <v>795</v>
      </c>
      <c r="AG123" s="665" t="s">
        <v>796</v>
      </c>
    </row>
    <row r="124" spans="1:33" ht="117" customHeight="1" x14ac:dyDescent="0.25">
      <c r="A124" s="658">
        <f t="shared" si="14"/>
        <v>85</v>
      </c>
      <c r="B124" s="759" t="s">
        <v>264</v>
      </c>
      <c r="C124" s="659">
        <v>80101706</v>
      </c>
      <c r="D124" s="660" t="s">
        <v>520</v>
      </c>
      <c r="E124" s="759" t="s">
        <v>48</v>
      </c>
      <c r="F124" s="759">
        <v>1</v>
      </c>
      <c r="G124" s="661" t="s">
        <v>73</v>
      </c>
      <c r="H124" s="662" t="s">
        <v>202</v>
      </c>
      <c r="I124" s="759" t="s">
        <v>61</v>
      </c>
      <c r="J124" s="759" t="s">
        <v>35</v>
      </c>
      <c r="K124" s="759" t="s">
        <v>439</v>
      </c>
      <c r="L124" s="663">
        <v>32320200</v>
      </c>
      <c r="M124" s="664">
        <v>32320200</v>
      </c>
      <c r="N124" s="759" t="s">
        <v>51</v>
      </c>
      <c r="O124" s="759" t="s">
        <v>36</v>
      </c>
      <c r="P124" s="759" t="s">
        <v>320</v>
      </c>
      <c r="Q124" s="80"/>
      <c r="R124" s="665" t="s">
        <v>797</v>
      </c>
      <c r="S124" s="665" t="s">
        <v>302</v>
      </c>
      <c r="T124" s="691">
        <v>43109</v>
      </c>
      <c r="U124" s="665" t="s">
        <v>798</v>
      </c>
      <c r="V124" s="665" t="s">
        <v>672</v>
      </c>
      <c r="W124" s="692">
        <v>32320200</v>
      </c>
      <c r="X124" s="692">
        <v>0</v>
      </c>
      <c r="Y124" s="692">
        <v>32320200</v>
      </c>
      <c r="Z124" s="692">
        <v>32320200</v>
      </c>
      <c r="AA124" s="665" t="s">
        <v>799</v>
      </c>
      <c r="AB124" s="665" t="s">
        <v>1294</v>
      </c>
      <c r="AC124" s="665" t="s">
        <v>794</v>
      </c>
      <c r="AD124" s="691">
        <v>43109</v>
      </c>
      <c r="AE124" s="691">
        <v>43289</v>
      </c>
      <c r="AF124" s="665" t="s">
        <v>675</v>
      </c>
      <c r="AG124" s="665" t="s">
        <v>661</v>
      </c>
    </row>
    <row r="125" spans="1:33" ht="117" customHeight="1" x14ac:dyDescent="0.25">
      <c r="A125" s="658">
        <f t="shared" si="14"/>
        <v>86</v>
      </c>
      <c r="B125" s="759" t="s">
        <v>521</v>
      </c>
      <c r="C125" s="659">
        <v>80101706</v>
      </c>
      <c r="D125" s="660" t="s">
        <v>522</v>
      </c>
      <c r="E125" s="759" t="s">
        <v>48</v>
      </c>
      <c r="F125" s="759">
        <v>1</v>
      </c>
      <c r="G125" s="661" t="s">
        <v>73</v>
      </c>
      <c r="H125" s="662">
        <v>5</v>
      </c>
      <c r="I125" s="759" t="s">
        <v>61</v>
      </c>
      <c r="J125" s="759" t="s">
        <v>66</v>
      </c>
      <c r="K125" s="759" t="s">
        <v>493</v>
      </c>
      <c r="L125" s="663">
        <v>56450000</v>
      </c>
      <c r="M125" s="664">
        <v>56450000</v>
      </c>
      <c r="N125" s="759" t="s">
        <v>51</v>
      </c>
      <c r="O125" s="759" t="s">
        <v>36</v>
      </c>
      <c r="P125" s="759" t="s">
        <v>523</v>
      </c>
      <c r="Q125" s="80"/>
      <c r="R125" s="665" t="s">
        <v>800</v>
      </c>
      <c r="S125" s="665" t="s">
        <v>801</v>
      </c>
      <c r="T125" s="691">
        <v>43109</v>
      </c>
      <c r="U125" s="665" t="s">
        <v>802</v>
      </c>
      <c r="V125" s="665" t="s">
        <v>672</v>
      </c>
      <c r="W125" s="692">
        <v>56450000</v>
      </c>
      <c r="X125" s="692">
        <v>11290000</v>
      </c>
      <c r="Y125" s="692">
        <f t="shared" ref="Y125" si="15">W125+X125</f>
        <v>67740000</v>
      </c>
      <c r="Z125" s="692">
        <f t="shared" ref="Z125:Z133" si="16">Y125</f>
        <v>67740000</v>
      </c>
      <c r="AA125" s="665" t="s">
        <v>803</v>
      </c>
      <c r="AB125" s="665" t="s">
        <v>1295</v>
      </c>
      <c r="AC125" s="665" t="s">
        <v>693</v>
      </c>
      <c r="AD125" s="691">
        <v>43109</v>
      </c>
      <c r="AE125" s="691">
        <v>43259</v>
      </c>
      <c r="AF125" s="665" t="s">
        <v>804</v>
      </c>
      <c r="AG125" s="665" t="s">
        <v>805</v>
      </c>
    </row>
    <row r="126" spans="1:33" ht="136.5" customHeight="1" x14ac:dyDescent="0.25">
      <c r="A126" s="658">
        <f t="shared" si="14"/>
        <v>87</v>
      </c>
      <c r="B126" s="759" t="s">
        <v>521</v>
      </c>
      <c r="C126" s="659">
        <v>80101706</v>
      </c>
      <c r="D126" s="660" t="s">
        <v>522</v>
      </c>
      <c r="E126" s="759" t="s">
        <v>48</v>
      </c>
      <c r="F126" s="759">
        <v>1</v>
      </c>
      <c r="G126" s="661" t="s">
        <v>73</v>
      </c>
      <c r="H126" s="662">
        <v>5</v>
      </c>
      <c r="I126" s="759" t="s">
        <v>61</v>
      </c>
      <c r="J126" s="759" t="s">
        <v>66</v>
      </c>
      <c r="K126" s="759" t="s">
        <v>493</v>
      </c>
      <c r="L126" s="663">
        <v>25040000</v>
      </c>
      <c r="M126" s="664">
        <v>25040000</v>
      </c>
      <c r="N126" s="759" t="s">
        <v>51</v>
      </c>
      <c r="O126" s="759" t="s">
        <v>36</v>
      </c>
      <c r="P126" s="759" t="s">
        <v>523</v>
      </c>
      <c r="Q126" s="80"/>
      <c r="R126" s="665" t="s">
        <v>806</v>
      </c>
      <c r="S126" s="665" t="s">
        <v>807</v>
      </c>
      <c r="T126" s="691">
        <v>43109</v>
      </c>
      <c r="U126" s="665" t="s">
        <v>808</v>
      </c>
      <c r="V126" s="665" t="s">
        <v>672</v>
      </c>
      <c r="W126" s="692">
        <v>25040000</v>
      </c>
      <c r="X126" s="692">
        <v>5008000</v>
      </c>
      <c r="Y126" s="692">
        <f>W126+X126</f>
        <v>30048000</v>
      </c>
      <c r="Z126" s="692">
        <f t="shared" si="16"/>
        <v>30048000</v>
      </c>
      <c r="AA126" s="665" t="s">
        <v>809</v>
      </c>
      <c r="AB126" s="665" t="s">
        <v>1296</v>
      </c>
      <c r="AC126" s="665" t="s">
        <v>693</v>
      </c>
      <c r="AD126" s="691">
        <v>43110</v>
      </c>
      <c r="AE126" s="691">
        <v>43260</v>
      </c>
      <c r="AF126" s="665" t="s">
        <v>804</v>
      </c>
      <c r="AG126" s="665" t="s">
        <v>805</v>
      </c>
    </row>
    <row r="127" spans="1:33" ht="195" customHeight="1" x14ac:dyDescent="0.25">
      <c r="A127" s="890">
        <f t="shared" si="14"/>
        <v>88</v>
      </c>
      <c r="B127" s="759" t="s">
        <v>521</v>
      </c>
      <c r="C127" s="659">
        <v>80101706</v>
      </c>
      <c r="D127" s="660" t="s">
        <v>522</v>
      </c>
      <c r="E127" s="759" t="s">
        <v>48</v>
      </c>
      <c r="F127" s="759">
        <v>1</v>
      </c>
      <c r="G127" s="661" t="s">
        <v>73</v>
      </c>
      <c r="H127" s="662">
        <v>5</v>
      </c>
      <c r="I127" s="759" t="s">
        <v>61</v>
      </c>
      <c r="J127" s="759" t="s">
        <v>66</v>
      </c>
      <c r="K127" s="759" t="s">
        <v>493</v>
      </c>
      <c r="L127" s="663">
        <v>45000000</v>
      </c>
      <c r="M127" s="664">
        <v>45000000</v>
      </c>
      <c r="N127" s="759" t="s">
        <v>51</v>
      </c>
      <c r="O127" s="759" t="s">
        <v>36</v>
      </c>
      <c r="P127" s="759" t="s">
        <v>523</v>
      </c>
      <c r="Q127" s="80"/>
      <c r="R127" s="886" t="s">
        <v>810</v>
      </c>
      <c r="S127" s="886" t="s">
        <v>811</v>
      </c>
      <c r="T127" s="888">
        <v>43109</v>
      </c>
      <c r="U127" s="886" t="s">
        <v>812</v>
      </c>
      <c r="V127" s="886" t="s">
        <v>672</v>
      </c>
      <c r="W127" s="692">
        <v>45000000</v>
      </c>
      <c r="X127" s="692"/>
      <c r="Y127" s="692">
        <f>W127+X127</f>
        <v>45000000</v>
      </c>
      <c r="Z127" s="692">
        <f t="shared" si="16"/>
        <v>45000000</v>
      </c>
      <c r="AA127" s="886" t="s">
        <v>813</v>
      </c>
      <c r="AB127" s="665" t="s">
        <v>1297</v>
      </c>
      <c r="AC127" s="886" t="s">
        <v>693</v>
      </c>
      <c r="AD127" s="888">
        <v>43115</v>
      </c>
      <c r="AE127" s="888">
        <v>43265</v>
      </c>
      <c r="AF127" s="888" t="s">
        <v>804</v>
      </c>
      <c r="AG127" s="888" t="s">
        <v>805</v>
      </c>
    </row>
    <row r="128" spans="1:33" ht="195" customHeight="1" x14ac:dyDescent="0.25">
      <c r="A128" s="891"/>
      <c r="B128" s="759" t="s">
        <v>521</v>
      </c>
      <c r="C128" s="659">
        <v>80101706</v>
      </c>
      <c r="D128" s="660" t="s">
        <v>522</v>
      </c>
      <c r="E128" s="759" t="s">
        <v>48</v>
      </c>
      <c r="F128" s="759">
        <v>1</v>
      </c>
      <c r="G128" s="661" t="s">
        <v>73</v>
      </c>
      <c r="H128" s="662">
        <v>5</v>
      </c>
      <c r="I128" s="759" t="s">
        <v>61</v>
      </c>
      <c r="J128" s="759" t="s">
        <v>66</v>
      </c>
      <c r="K128" s="759" t="s">
        <v>610</v>
      </c>
      <c r="L128" s="663">
        <v>9000000</v>
      </c>
      <c r="M128" s="664">
        <v>9000000</v>
      </c>
      <c r="N128" s="759" t="s">
        <v>51</v>
      </c>
      <c r="O128" s="759" t="s">
        <v>36</v>
      </c>
      <c r="P128" s="759" t="s">
        <v>523</v>
      </c>
      <c r="Q128" s="80"/>
      <c r="R128" s="887"/>
      <c r="S128" s="887"/>
      <c r="T128" s="889"/>
      <c r="U128" s="887"/>
      <c r="V128" s="887"/>
      <c r="W128" s="692"/>
      <c r="X128" s="692">
        <v>9000000</v>
      </c>
      <c r="Y128" s="692">
        <v>9000000</v>
      </c>
      <c r="Z128" s="692">
        <v>9000000</v>
      </c>
      <c r="AA128" s="887"/>
      <c r="AB128" s="665"/>
      <c r="AC128" s="887"/>
      <c r="AD128" s="889"/>
      <c r="AE128" s="889"/>
      <c r="AF128" s="889"/>
      <c r="AG128" s="889"/>
    </row>
    <row r="129" spans="1:33" ht="136.5" customHeight="1" x14ac:dyDescent="0.25">
      <c r="A129" s="890">
        <f>SUM(A127+1)</f>
        <v>89</v>
      </c>
      <c r="B129" s="759" t="s">
        <v>521</v>
      </c>
      <c r="C129" s="659">
        <v>80101706</v>
      </c>
      <c r="D129" s="660" t="s">
        <v>522</v>
      </c>
      <c r="E129" s="759" t="s">
        <v>48</v>
      </c>
      <c r="F129" s="759">
        <v>1</v>
      </c>
      <c r="G129" s="661" t="s">
        <v>73</v>
      </c>
      <c r="H129" s="662">
        <v>5</v>
      </c>
      <c r="I129" s="759" t="s">
        <v>61</v>
      </c>
      <c r="J129" s="759" t="s">
        <v>66</v>
      </c>
      <c r="K129" s="759" t="s">
        <v>493</v>
      </c>
      <c r="L129" s="663">
        <v>35830000</v>
      </c>
      <c r="M129" s="664">
        <v>35830000</v>
      </c>
      <c r="N129" s="759" t="s">
        <v>51</v>
      </c>
      <c r="O129" s="759" t="s">
        <v>36</v>
      </c>
      <c r="P129" s="759" t="s">
        <v>523</v>
      </c>
      <c r="Q129" s="80"/>
      <c r="R129" s="886" t="s">
        <v>814</v>
      </c>
      <c r="S129" s="886" t="s">
        <v>815</v>
      </c>
      <c r="T129" s="888">
        <v>43109</v>
      </c>
      <c r="U129" s="886" t="s">
        <v>816</v>
      </c>
      <c r="V129" s="886" t="s">
        <v>672</v>
      </c>
      <c r="W129" s="692">
        <v>35830000</v>
      </c>
      <c r="X129" s="692"/>
      <c r="Y129" s="692">
        <f>W129+X129</f>
        <v>35830000</v>
      </c>
      <c r="Z129" s="692">
        <f t="shared" si="16"/>
        <v>35830000</v>
      </c>
      <c r="AA129" s="886" t="s">
        <v>817</v>
      </c>
      <c r="AB129" s="665" t="s">
        <v>1298</v>
      </c>
      <c r="AC129" s="886" t="s">
        <v>693</v>
      </c>
      <c r="AD129" s="888">
        <v>43110</v>
      </c>
      <c r="AE129" s="888">
        <v>43260</v>
      </c>
      <c r="AF129" s="886" t="s">
        <v>804</v>
      </c>
      <c r="AG129" s="886" t="s">
        <v>805</v>
      </c>
    </row>
    <row r="130" spans="1:33" ht="136.5" customHeight="1" x14ac:dyDescent="0.25">
      <c r="A130" s="891"/>
      <c r="B130" s="759" t="s">
        <v>521</v>
      </c>
      <c r="C130" s="659">
        <v>80101706</v>
      </c>
      <c r="D130" s="660" t="s">
        <v>522</v>
      </c>
      <c r="E130" s="759" t="s">
        <v>48</v>
      </c>
      <c r="F130" s="759">
        <v>1</v>
      </c>
      <c r="G130" s="661" t="s">
        <v>73</v>
      </c>
      <c r="H130" s="662">
        <v>5</v>
      </c>
      <c r="I130" s="759" t="s">
        <v>61</v>
      </c>
      <c r="J130" s="759" t="s">
        <v>66</v>
      </c>
      <c r="K130" s="759" t="s">
        <v>610</v>
      </c>
      <c r="L130" s="663">
        <v>7166000</v>
      </c>
      <c r="M130" s="664">
        <v>7166000</v>
      </c>
      <c r="N130" s="759" t="s">
        <v>51</v>
      </c>
      <c r="O130" s="759" t="s">
        <v>36</v>
      </c>
      <c r="P130" s="759" t="s">
        <v>523</v>
      </c>
      <c r="Q130" s="80"/>
      <c r="R130" s="887"/>
      <c r="S130" s="887"/>
      <c r="T130" s="889"/>
      <c r="U130" s="887"/>
      <c r="V130" s="887"/>
      <c r="W130" s="692"/>
      <c r="X130" s="692">
        <v>7166000</v>
      </c>
      <c r="Y130" s="692">
        <v>7166000</v>
      </c>
      <c r="Z130" s="692">
        <v>7166000</v>
      </c>
      <c r="AA130" s="887"/>
      <c r="AB130" s="665"/>
      <c r="AC130" s="887"/>
      <c r="AD130" s="889"/>
      <c r="AE130" s="889"/>
      <c r="AF130" s="887"/>
      <c r="AG130" s="887"/>
    </row>
    <row r="131" spans="1:33" ht="156" customHeight="1" x14ac:dyDescent="0.25">
      <c r="A131" s="890">
        <f>SUM(A129+1)</f>
        <v>90</v>
      </c>
      <c r="B131" s="759" t="s">
        <v>521</v>
      </c>
      <c r="C131" s="659">
        <v>80101706</v>
      </c>
      <c r="D131" s="660" t="s">
        <v>522</v>
      </c>
      <c r="E131" s="759" t="s">
        <v>48</v>
      </c>
      <c r="F131" s="759">
        <v>1</v>
      </c>
      <c r="G131" s="661" t="s">
        <v>73</v>
      </c>
      <c r="H131" s="662">
        <v>5</v>
      </c>
      <c r="I131" s="759" t="s">
        <v>61</v>
      </c>
      <c r="J131" s="759" t="s">
        <v>66</v>
      </c>
      <c r="K131" s="759" t="s">
        <v>493</v>
      </c>
      <c r="L131" s="663">
        <v>14000000</v>
      </c>
      <c r="M131" s="664">
        <v>14000000</v>
      </c>
      <c r="N131" s="759" t="s">
        <v>51</v>
      </c>
      <c r="O131" s="759" t="s">
        <v>36</v>
      </c>
      <c r="P131" s="759" t="s">
        <v>523</v>
      </c>
      <c r="Q131" s="80"/>
      <c r="R131" s="886" t="s">
        <v>818</v>
      </c>
      <c r="S131" s="886" t="s">
        <v>819</v>
      </c>
      <c r="T131" s="888">
        <v>43110</v>
      </c>
      <c r="U131" s="886" t="s">
        <v>820</v>
      </c>
      <c r="V131" s="886" t="s">
        <v>672</v>
      </c>
      <c r="W131" s="692">
        <v>14000000</v>
      </c>
      <c r="X131" s="692"/>
      <c r="Y131" s="692">
        <f>W131+X131</f>
        <v>14000000</v>
      </c>
      <c r="Z131" s="692">
        <f t="shared" si="16"/>
        <v>14000000</v>
      </c>
      <c r="AA131" s="886" t="s">
        <v>821</v>
      </c>
      <c r="AB131" s="665" t="s">
        <v>1299</v>
      </c>
      <c r="AC131" s="886" t="s">
        <v>693</v>
      </c>
      <c r="AD131" s="888">
        <v>43111</v>
      </c>
      <c r="AE131" s="888">
        <v>43261</v>
      </c>
      <c r="AF131" s="886" t="s">
        <v>822</v>
      </c>
      <c r="AG131" s="886" t="s">
        <v>823</v>
      </c>
    </row>
    <row r="132" spans="1:33" ht="156" customHeight="1" x14ac:dyDescent="0.25">
      <c r="A132" s="891"/>
      <c r="B132" s="759" t="s">
        <v>521</v>
      </c>
      <c r="C132" s="659">
        <v>80101706</v>
      </c>
      <c r="D132" s="660" t="s">
        <v>522</v>
      </c>
      <c r="E132" s="759" t="s">
        <v>48</v>
      </c>
      <c r="F132" s="759">
        <v>1</v>
      </c>
      <c r="G132" s="661" t="s">
        <v>73</v>
      </c>
      <c r="H132" s="662">
        <v>5</v>
      </c>
      <c r="I132" s="759" t="s">
        <v>61</v>
      </c>
      <c r="J132" s="759" t="s">
        <v>66</v>
      </c>
      <c r="K132" s="759" t="s">
        <v>610</v>
      </c>
      <c r="L132" s="663">
        <v>2800000</v>
      </c>
      <c r="M132" s="664">
        <v>2800000</v>
      </c>
      <c r="N132" s="759" t="s">
        <v>51</v>
      </c>
      <c r="O132" s="759" t="s">
        <v>36</v>
      </c>
      <c r="P132" s="759" t="s">
        <v>523</v>
      </c>
      <c r="Q132" s="80"/>
      <c r="R132" s="887"/>
      <c r="S132" s="887"/>
      <c r="T132" s="889"/>
      <c r="U132" s="887"/>
      <c r="V132" s="887"/>
      <c r="W132" s="692"/>
      <c r="X132" s="692">
        <v>2800000</v>
      </c>
      <c r="Y132" s="692">
        <v>2800000</v>
      </c>
      <c r="Z132" s="692">
        <v>2800000</v>
      </c>
      <c r="AA132" s="887"/>
      <c r="AB132" s="665"/>
      <c r="AC132" s="887"/>
      <c r="AD132" s="889"/>
      <c r="AE132" s="889"/>
      <c r="AF132" s="887"/>
      <c r="AG132" s="887"/>
    </row>
    <row r="133" spans="1:33" ht="175.5" customHeight="1" x14ac:dyDescent="0.25">
      <c r="A133" s="890">
        <f>SUM(A131+1)</f>
        <v>91</v>
      </c>
      <c r="B133" s="759" t="s">
        <v>266</v>
      </c>
      <c r="C133" s="659">
        <v>80101706</v>
      </c>
      <c r="D133" s="660" t="s">
        <v>526</v>
      </c>
      <c r="E133" s="759" t="s">
        <v>48</v>
      </c>
      <c r="F133" s="759">
        <v>1</v>
      </c>
      <c r="G133" s="661" t="s">
        <v>73</v>
      </c>
      <c r="H133" s="662">
        <v>5</v>
      </c>
      <c r="I133" s="759" t="s">
        <v>61</v>
      </c>
      <c r="J133" s="759" t="s">
        <v>66</v>
      </c>
      <c r="K133" s="759" t="s">
        <v>473</v>
      </c>
      <c r="L133" s="663">
        <v>24485000</v>
      </c>
      <c r="M133" s="664">
        <v>24485000</v>
      </c>
      <c r="N133" s="759" t="s">
        <v>51</v>
      </c>
      <c r="O133" s="759" t="s">
        <v>36</v>
      </c>
      <c r="P133" s="759" t="s">
        <v>527</v>
      </c>
      <c r="Q133" s="80"/>
      <c r="R133" s="886" t="s">
        <v>824</v>
      </c>
      <c r="S133" s="886" t="s">
        <v>825</v>
      </c>
      <c r="T133" s="888">
        <v>43109</v>
      </c>
      <c r="U133" s="886" t="s">
        <v>826</v>
      </c>
      <c r="V133" s="886" t="s">
        <v>672</v>
      </c>
      <c r="W133" s="692">
        <v>24485000</v>
      </c>
      <c r="X133" s="692"/>
      <c r="Y133" s="692">
        <f>W133+X133</f>
        <v>24485000</v>
      </c>
      <c r="Z133" s="692">
        <f t="shared" si="16"/>
        <v>24485000</v>
      </c>
      <c r="AA133" s="886" t="s">
        <v>827</v>
      </c>
      <c r="AB133" s="665" t="s">
        <v>1300</v>
      </c>
      <c r="AC133" s="886" t="s">
        <v>693</v>
      </c>
      <c r="AD133" s="888">
        <v>43109</v>
      </c>
      <c r="AE133" s="888">
        <v>43259</v>
      </c>
      <c r="AF133" s="886" t="s">
        <v>828</v>
      </c>
      <c r="AG133" s="886" t="s">
        <v>829</v>
      </c>
    </row>
    <row r="134" spans="1:33" ht="124.5" customHeight="1" x14ac:dyDescent="0.25">
      <c r="A134" s="891"/>
      <c r="B134" s="759" t="s">
        <v>266</v>
      </c>
      <c r="C134" s="659">
        <v>80101706</v>
      </c>
      <c r="D134" s="660" t="s">
        <v>526</v>
      </c>
      <c r="E134" s="759" t="s">
        <v>48</v>
      </c>
      <c r="F134" s="759">
        <v>1</v>
      </c>
      <c r="G134" s="661" t="s">
        <v>73</v>
      </c>
      <c r="H134" s="662">
        <v>5</v>
      </c>
      <c r="I134" s="759" t="s">
        <v>61</v>
      </c>
      <c r="J134" s="759" t="s">
        <v>66</v>
      </c>
      <c r="K134" s="759" t="s">
        <v>601</v>
      </c>
      <c r="L134" s="663">
        <v>12242500</v>
      </c>
      <c r="M134" s="664">
        <v>12242500</v>
      </c>
      <c r="N134" s="759" t="s">
        <v>51</v>
      </c>
      <c r="O134" s="759" t="s">
        <v>36</v>
      </c>
      <c r="P134" s="759" t="s">
        <v>527</v>
      </c>
      <c r="Q134" s="80"/>
      <c r="R134" s="887"/>
      <c r="S134" s="887"/>
      <c r="T134" s="889"/>
      <c r="U134" s="887"/>
      <c r="V134" s="887"/>
      <c r="W134" s="692"/>
      <c r="X134" s="692">
        <v>12242500</v>
      </c>
      <c r="Y134" s="692">
        <v>12242500</v>
      </c>
      <c r="Z134" s="692">
        <v>12242500</v>
      </c>
      <c r="AA134" s="887"/>
      <c r="AB134" s="665"/>
      <c r="AC134" s="887"/>
      <c r="AD134" s="889"/>
      <c r="AE134" s="889"/>
      <c r="AF134" s="887"/>
      <c r="AG134" s="887"/>
    </row>
    <row r="135" spans="1:33" ht="175.5" x14ac:dyDescent="0.25">
      <c r="A135" s="658">
        <f>SUM(A133+1)</f>
        <v>92</v>
      </c>
      <c r="B135" s="759" t="s">
        <v>266</v>
      </c>
      <c r="C135" s="659">
        <v>80101706</v>
      </c>
      <c r="D135" s="660" t="s">
        <v>526</v>
      </c>
      <c r="E135" s="759" t="s">
        <v>48</v>
      </c>
      <c r="F135" s="759">
        <v>1</v>
      </c>
      <c r="G135" s="661" t="s">
        <v>73</v>
      </c>
      <c r="H135" s="662">
        <v>5</v>
      </c>
      <c r="I135" s="759" t="s">
        <v>61</v>
      </c>
      <c r="J135" s="759" t="s">
        <v>66</v>
      </c>
      <c r="K135" s="759" t="s">
        <v>473</v>
      </c>
      <c r="L135" s="663">
        <v>19475000</v>
      </c>
      <c r="M135" s="664">
        <v>19475000</v>
      </c>
      <c r="N135" s="759" t="s">
        <v>51</v>
      </c>
      <c r="O135" s="759" t="s">
        <v>36</v>
      </c>
      <c r="P135" s="759" t="s">
        <v>527</v>
      </c>
      <c r="Q135" s="80"/>
      <c r="R135" s="665" t="s">
        <v>830</v>
      </c>
      <c r="S135" s="665" t="s">
        <v>831</v>
      </c>
      <c r="T135" s="691">
        <v>43109</v>
      </c>
      <c r="U135" s="665" t="s">
        <v>832</v>
      </c>
      <c r="V135" s="665" t="s">
        <v>672</v>
      </c>
      <c r="W135" s="692">
        <v>15320333</v>
      </c>
      <c r="X135" s="692">
        <v>0</v>
      </c>
      <c r="Y135" s="692">
        <v>15320333</v>
      </c>
      <c r="Z135" s="692">
        <v>15320333</v>
      </c>
      <c r="AA135" s="665" t="s">
        <v>698</v>
      </c>
      <c r="AB135" s="665" t="s">
        <v>1301</v>
      </c>
      <c r="AC135" s="665" t="s">
        <v>693</v>
      </c>
      <c r="AD135" s="691">
        <v>43109</v>
      </c>
      <c r="AE135" s="691">
        <v>43259</v>
      </c>
      <c r="AF135" s="665" t="s">
        <v>828</v>
      </c>
      <c r="AG135" s="665" t="s">
        <v>829</v>
      </c>
    </row>
    <row r="136" spans="1:33" ht="156" x14ac:dyDescent="0.25">
      <c r="A136" s="658">
        <f t="shared" si="14"/>
        <v>93</v>
      </c>
      <c r="B136" s="759" t="s">
        <v>267</v>
      </c>
      <c r="C136" s="659">
        <v>80101706</v>
      </c>
      <c r="D136" s="660" t="s">
        <v>528</v>
      </c>
      <c r="E136" s="759" t="s">
        <v>48</v>
      </c>
      <c r="F136" s="759">
        <v>1</v>
      </c>
      <c r="G136" s="661" t="s">
        <v>73</v>
      </c>
      <c r="H136" s="662">
        <v>5</v>
      </c>
      <c r="I136" s="759" t="s">
        <v>61</v>
      </c>
      <c r="J136" s="759" t="s">
        <v>66</v>
      </c>
      <c r="K136" s="759" t="s">
        <v>473</v>
      </c>
      <c r="L136" s="663">
        <v>25000000</v>
      </c>
      <c r="M136" s="664">
        <v>25000000</v>
      </c>
      <c r="N136" s="759" t="s">
        <v>51</v>
      </c>
      <c r="O136" s="759" t="s">
        <v>36</v>
      </c>
      <c r="P136" s="759" t="s">
        <v>527</v>
      </c>
      <c r="Q136" s="80"/>
      <c r="R136" s="665" t="s">
        <v>833</v>
      </c>
      <c r="S136" s="665" t="s">
        <v>834</v>
      </c>
      <c r="T136" s="691">
        <v>43109</v>
      </c>
      <c r="U136" s="665" t="s">
        <v>835</v>
      </c>
      <c r="V136" s="665" t="s">
        <v>672</v>
      </c>
      <c r="W136" s="692">
        <v>25000000</v>
      </c>
      <c r="X136" s="692">
        <v>5000000</v>
      </c>
      <c r="Y136" s="692">
        <f t="shared" ref="Y136:Y137" si="17">W136+X136</f>
        <v>30000000</v>
      </c>
      <c r="Z136" s="692">
        <f t="shared" ref="Z136:Z146" si="18">Y136</f>
        <v>30000000</v>
      </c>
      <c r="AA136" s="665" t="s">
        <v>836</v>
      </c>
      <c r="AB136" s="665" t="s">
        <v>1302</v>
      </c>
      <c r="AC136" s="665" t="s">
        <v>693</v>
      </c>
      <c r="AD136" s="691">
        <v>43111</v>
      </c>
      <c r="AE136" s="691">
        <v>43261</v>
      </c>
      <c r="AF136" s="665" t="s">
        <v>837</v>
      </c>
      <c r="AG136" s="665" t="s">
        <v>838</v>
      </c>
    </row>
    <row r="137" spans="1:33" ht="156" x14ac:dyDescent="0.25">
      <c r="A137" s="658">
        <f t="shared" si="14"/>
        <v>94</v>
      </c>
      <c r="B137" s="759" t="s">
        <v>267</v>
      </c>
      <c r="C137" s="659">
        <v>80101706</v>
      </c>
      <c r="D137" s="660" t="s">
        <v>528</v>
      </c>
      <c r="E137" s="759" t="s">
        <v>48</v>
      </c>
      <c r="F137" s="759">
        <v>1</v>
      </c>
      <c r="G137" s="661" t="s">
        <v>73</v>
      </c>
      <c r="H137" s="662">
        <v>5</v>
      </c>
      <c r="I137" s="759" t="s">
        <v>61</v>
      </c>
      <c r="J137" s="759" t="s">
        <v>66</v>
      </c>
      <c r="K137" s="759" t="s">
        <v>473</v>
      </c>
      <c r="L137" s="663">
        <v>25000000</v>
      </c>
      <c r="M137" s="664">
        <v>25000000</v>
      </c>
      <c r="N137" s="759" t="s">
        <v>51</v>
      </c>
      <c r="O137" s="759" t="s">
        <v>36</v>
      </c>
      <c r="P137" s="759" t="s">
        <v>527</v>
      </c>
      <c r="Q137" s="80"/>
      <c r="R137" s="665" t="s">
        <v>839</v>
      </c>
      <c r="S137" s="665" t="s">
        <v>273</v>
      </c>
      <c r="T137" s="691">
        <v>43109</v>
      </c>
      <c r="U137" s="665" t="s">
        <v>835</v>
      </c>
      <c r="V137" s="665" t="s">
        <v>672</v>
      </c>
      <c r="W137" s="692">
        <v>25000000</v>
      </c>
      <c r="X137" s="692">
        <v>5000000</v>
      </c>
      <c r="Y137" s="692">
        <f t="shared" si="17"/>
        <v>30000000</v>
      </c>
      <c r="Z137" s="692">
        <f t="shared" si="18"/>
        <v>30000000</v>
      </c>
      <c r="AA137" s="665" t="s">
        <v>836</v>
      </c>
      <c r="AB137" s="665" t="s">
        <v>1303</v>
      </c>
      <c r="AC137" s="665" t="s">
        <v>693</v>
      </c>
      <c r="AD137" s="691">
        <v>43111</v>
      </c>
      <c r="AE137" s="691">
        <v>43261</v>
      </c>
      <c r="AF137" s="665" t="s">
        <v>1052</v>
      </c>
      <c r="AG137" s="665" t="s">
        <v>838</v>
      </c>
    </row>
    <row r="138" spans="1:33" ht="222" customHeight="1" x14ac:dyDescent="0.25">
      <c r="A138" s="890">
        <f t="shared" si="14"/>
        <v>95</v>
      </c>
      <c r="B138" s="759" t="s">
        <v>529</v>
      </c>
      <c r="C138" s="659">
        <v>80101706</v>
      </c>
      <c r="D138" s="660" t="s">
        <v>530</v>
      </c>
      <c r="E138" s="759" t="s">
        <v>48</v>
      </c>
      <c r="F138" s="759">
        <v>1</v>
      </c>
      <c r="G138" s="661" t="s">
        <v>73</v>
      </c>
      <c r="H138" s="662">
        <v>5</v>
      </c>
      <c r="I138" s="759" t="s">
        <v>61</v>
      </c>
      <c r="J138" s="759" t="s">
        <v>66</v>
      </c>
      <c r="K138" s="759" t="s">
        <v>473</v>
      </c>
      <c r="L138" s="663">
        <v>36750000</v>
      </c>
      <c r="M138" s="664">
        <v>36750000</v>
      </c>
      <c r="N138" s="759" t="s">
        <v>51</v>
      </c>
      <c r="O138" s="759" t="s">
        <v>36</v>
      </c>
      <c r="P138" s="759" t="s">
        <v>531</v>
      </c>
      <c r="Q138" s="80"/>
      <c r="R138" s="886" t="s">
        <v>840</v>
      </c>
      <c r="S138" s="886" t="s">
        <v>260</v>
      </c>
      <c r="T138" s="888">
        <v>43109</v>
      </c>
      <c r="U138" s="886" t="s">
        <v>841</v>
      </c>
      <c r="V138" s="886" t="s">
        <v>672</v>
      </c>
      <c r="W138" s="892">
        <v>36750000</v>
      </c>
      <c r="X138" s="692"/>
      <c r="Y138" s="692">
        <f>W138+X138</f>
        <v>36750000</v>
      </c>
      <c r="Z138" s="692">
        <f t="shared" si="18"/>
        <v>36750000</v>
      </c>
      <c r="AA138" s="886" t="s">
        <v>842</v>
      </c>
      <c r="AB138" s="886" t="s">
        <v>1304</v>
      </c>
      <c r="AC138" s="886" t="s">
        <v>693</v>
      </c>
      <c r="AD138" s="888">
        <v>43109</v>
      </c>
      <c r="AE138" s="888">
        <v>43259</v>
      </c>
      <c r="AF138" s="886" t="s">
        <v>1255</v>
      </c>
      <c r="AG138" s="886" t="s">
        <v>843</v>
      </c>
    </row>
    <row r="139" spans="1:33" ht="148.5" customHeight="1" x14ac:dyDescent="0.25">
      <c r="A139" s="891"/>
      <c r="B139" s="759" t="s">
        <v>529</v>
      </c>
      <c r="C139" s="659">
        <v>80101706</v>
      </c>
      <c r="D139" s="660" t="s">
        <v>530</v>
      </c>
      <c r="E139" s="759" t="s">
        <v>48</v>
      </c>
      <c r="F139" s="759">
        <v>1</v>
      </c>
      <c r="G139" s="661" t="s">
        <v>73</v>
      </c>
      <c r="H139" s="662">
        <v>5</v>
      </c>
      <c r="I139" s="759" t="s">
        <v>61</v>
      </c>
      <c r="J139" s="759" t="s">
        <v>66</v>
      </c>
      <c r="K139" s="759" t="s">
        <v>601</v>
      </c>
      <c r="L139" s="663">
        <v>18375000</v>
      </c>
      <c r="M139" s="664">
        <v>18375000</v>
      </c>
      <c r="N139" s="759" t="s">
        <v>51</v>
      </c>
      <c r="O139" s="759" t="s">
        <v>36</v>
      </c>
      <c r="P139" s="759" t="s">
        <v>531</v>
      </c>
      <c r="Q139" s="80"/>
      <c r="R139" s="887"/>
      <c r="S139" s="887"/>
      <c r="T139" s="889"/>
      <c r="U139" s="887"/>
      <c r="V139" s="887"/>
      <c r="W139" s="893"/>
      <c r="X139" s="692">
        <v>18375000</v>
      </c>
      <c r="Y139" s="692">
        <v>18375000</v>
      </c>
      <c r="Z139" s="692">
        <v>18375000</v>
      </c>
      <c r="AA139" s="887"/>
      <c r="AB139" s="887"/>
      <c r="AC139" s="887"/>
      <c r="AD139" s="889"/>
      <c r="AE139" s="889"/>
      <c r="AF139" s="887"/>
      <c r="AG139" s="887"/>
    </row>
    <row r="140" spans="1:33" ht="214.5" customHeight="1" x14ac:dyDescent="0.25">
      <c r="A140" s="890">
        <f>SUM(A138+1)</f>
        <v>96</v>
      </c>
      <c r="B140" s="759" t="s">
        <v>529</v>
      </c>
      <c r="C140" s="659">
        <v>80101706</v>
      </c>
      <c r="D140" s="660" t="s">
        <v>530</v>
      </c>
      <c r="E140" s="759" t="s">
        <v>48</v>
      </c>
      <c r="F140" s="759">
        <v>1</v>
      </c>
      <c r="G140" s="661" t="s">
        <v>73</v>
      </c>
      <c r="H140" s="662">
        <v>5</v>
      </c>
      <c r="I140" s="759" t="s">
        <v>61</v>
      </c>
      <c r="J140" s="759" t="s">
        <v>66</v>
      </c>
      <c r="K140" s="759" t="s">
        <v>473</v>
      </c>
      <c r="L140" s="663">
        <v>24485000</v>
      </c>
      <c r="M140" s="664">
        <v>24485000</v>
      </c>
      <c r="N140" s="759" t="s">
        <v>51</v>
      </c>
      <c r="O140" s="759" t="s">
        <v>36</v>
      </c>
      <c r="P140" s="759" t="s">
        <v>531</v>
      </c>
      <c r="Q140" s="80"/>
      <c r="R140" s="748" t="s">
        <v>844</v>
      </c>
      <c r="S140" s="886" t="s">
        <v>283</v>
      </c>
      <c r="T140" s="888">
        <v>43116</v>
      </c>
      <c r="U140" s="886" t="s">
        <v>845</v>
      </c>
      <c r="V140" s="886" t="s">
        <v>672</v>
      </c>
      <c r="W140" s="692">
        <v>24485000</v>
      </c>
      <c r="X140" s="692"/>
      <c r="Y140" s="692">
        <f>W140+X140</f>
        <v>24485000</v>
      </c>
      <c r="Z140" s="692">
        <f t="shared" si="18"/>
        <v>24485000</v>
      </c>
      <c r="AA140" s="886" t="s">
        <v>846</v>
      </c>
      <c r="AB140" s="886" t="s">
        <v>1305</v>
      </c>
      <c r="AC140" s="886" t="s">
        <v>847</v>
      </c>
      <c r="AD140" s="888">
        <v>43117</v>
      </c>
      <c r="AE140" s="888">
        <v>43267</v>
      </c>
      <c r="AF140" s="886" t="s">
        <v>848</v>
      </c>
      <c r="AG140" s="886" t="s">
        <v>843</v>
      </c>
    </row>
    <row r="141" spans="1:33" ht="113.25" customHeight="1" x14ac:dyDescent="0.25">
      <c r="A141" s="891"/>
      <c r="B141" s="759" t="s">
        <v>529</v>
      </c>
      <c r="C141" s="659">
        <v>80101706</v>
      </c>
      <c r="D141" s="660" t="s">
        <v>530</v>
      </c>
      <c r="E141" s="759" t="s">
        <v>48</v>
      </c>
      <c r="F141" s="759">
        <v>1</v>
      </c>
      <c r="G141" s="661" t="s">
        <v>73</v>
      </c>
      <c r="H141" s="662">
        <v>5</v>
      </c>
      <c r="I141" s="759" t="s">
        <v>61</v>
      </c>
      <c r="J141" s="759" t="s">
        <v>66</v>
      </c>
      <c r="K141" s="759" t="s">
        <v>601</v>
      </c>
      <c r="L141" s="663">
        <v>12242500</v>
      </c>
      <c r="M141" s="664">
        <v>12242500</v>
      </c>
      <c r="N141" s="759" t="s">
        <v>51</v>
      </c>
      <c r="O141" s="759" t="s">
        <v>36</v>
      </c>
      <c r="P141" s="759" t="s">
        <v>531</v>
      </c>
      <c r="Q141" s="80"/>
      <c r="R141" s="748"/>
      <c r="S141" s="887"/>
      <c r="T141" s="889"/>
      <c r="U141" s="887"/>
      <c r="V141" s="887"/>
      <c r="W141" s="692"/>
      <c r="X141" s="692">
        <v>12242500</v>
      </c>
      <c r="Y141" s="692">
        <v>12242500</v>
      </c>
      <c r="Z141" s="692">
        <v>12242500</v>
      </c>
      <c r="AA141" s="887"/>
      <c r="AB141" s="887"/>
      <c r="AC141" s="887"/>
      <c r="AD141" s="889"/>
      <c r="AE141" s="889"/>
      <c r="AF141" s="887"/>
      <c r="AG141" s="887"/>
    </row>
    <row r="142" spans="1:33" ht="69.75" customHeight="1" x14ac:dyDescent="0.25">
      <c r="A142" s="658">
        <f>SUM(A140+1)</f>
        <v>97</v>
      </c>
      <c r="B142" s="759" t="s">
        <v>529</v>
      </c>
      <c r="C142" s="659">
        <v>80101706</v>
      </c>
      <c r="D142" s="660" t="s">
        <v>530</v>
      </c>
      <c r="E142" s="759" t="s">
        <v>48</v>
      </c>
      <c r="F142" s="759">
        <v>1</v>
      </c>
      <c r="G142" s="661" t="s">
        <v>73</v>
      </c>
      <c r="H142" s="662">
        <v>5</v>
      </c>
      <c r="I142" s="759" t="s">
        <v>61</v>
      </c>
      <c r="J142" s="759" t="s">
        <v>66</v>
      </c>
      <c r="K142" s="759" t="s">
        <v>473</v>
      </c>
      <c r="L142" s="663">
        <v>19475000</v>
      </c>
      <c r="M142" s="664">
        <v>19475000</v>
      </c>
      <c r="N142" s="759" t="s">
        <v>51</v>
      </c>
      <c r="O142" s="759" t="s">
        <v>36</v>
      </c>
      <c r="P142" s="759" t="s">
        <v>531</v>
      </c>
      <c r="Q142" s="80"/>
      <c r="R142" s="665" t="s">
        <v>849</v>
      </c>
      <c r="S142" s="665" t="s">
        <v>850</v>
      </c>
      <c r="T142" s="691">
        <v>43109</v>
      </c>
      <c r="U142" s="665" t="s">
        <v>851</v>
      </c>
      <c r="V142" s="665" t="s">
        <v>672</v>
      </c>
      <c r="W142" s="692">
        <v>19475000</v>
      </c>
      <c r="X142" s="692">
        <v>3895000</v>
      </c>
      <c r="Y142" s="692">
        <f>W142+X142</f>
        <v>23370000</v>
      </c>
      <c r="Z142" s="692">
        <f t="shared" si="18"/>
        <v>23370000</v>
      </c>
      <c r="AA142" s="665" t="s">
        <v>698</v>
      </c>
      <c r="AB142" s="665" t="s">
        <v>1306</v>
      </c>
      <c r="AC142" s="665" t="s">
        <v>693</v>
      </c>
      <c r="AD142" s="691">
        <v>43109</v>
      </c>
      <c r="AE142" s="691">
        <v>43259</v>
      </c>
      <c r="AF142" s="665" t="s">
        <v>852</v>
      </c>
      <c r="AG142" s="665" t="s">
        <v>843</v>
      </c>
    </row>
    <row r="143" spans="1:33" ht="156" customHeight="1" x14ac:dyDescent="0.25">
      <c r="A143" s="890">
        <f t="shared" si="14"/>
        <v>98</v>
      </c>
      <c r="B143" s="759" t="s">
        <v>529</v>
      </c>
      <c r="C143" s="659">
        <v>80101706</v>
      </c>
      <c r="D143" s="660" t="s">
        <v>530</v>
      </c>
      <c r="E143" s="759" t="s">
        <v>48</v>
      </c>
      <c r="F143" s="759">
        <v>1</v>
      </c>
      <c r="G143" s="661" t="s">
        <v>73</v>
      </c>
      <c r="H143" s="662">
        <v>5</v>
      </c>
      <c r="I143" s="759" t="s">
        <v>61</v>
      </c>
      <c r="J143" s="759" t="s">
        <v>66</v>
      </c>
      <c r="K143" s="759" t="s">
        <v>473</v>
      </c>
      <c r="L143" s="663">
        <v>36750000</v>
      </c>
      <c r="M143" s="664">
        <v>36750000</v>
      </c>
      <c r="N143" s="759" t="s">
        <v>51</v>
      </c>
      <c r="O143" s="759" t="s">
        <v>36</v>
      </c>
      <c r="P143" s="759" t="s">
        <v>531</v>
      </c>
      <c r="Q143" s="80"/>
      <c r="R143" s="886" t="s">
        <v>853</v>
      </c>
      <c r="S143" s="886" t="s">
        <v>279</v>
      </c>
      <c r="T143" s="888">
        <v>43109</v>
      </c>
      <c r="U143" s="886" t="s">
        <v>854</v>
      </c>
      <c r="V143" s="886" t="s">
        <v>672</v>
      </c>
      <c r="W143" s="692">
        <v>36750000</v>
      </c>
      <c r="X143" s="692"/>
      <c r="Y143" s="692">
        <f t="shared" ref="Y143" si="19">W143+X143</f>
        <v>36750000</v>
      </c>
      <c r="Z143" s="692">
        <f t="shared" si="18"/>
        <v>36750000</v>
      </c>
      <c r="AA143" s="886" t="s">
        <v>842</v>
      </c>
      <c r="AB143" s="886" t="s">
        <v>1307</v>
      </c>
      <c r="AC143" s="886" t="s">
        <v>693</v>
      </c>
      <c r="AD143" s="888">
        <v>43109</v>
      </c>
      <c r="AE143" s="888">
        <v>43259</v>
      </c>
      <c r="AF143" s="886" t="s">
        <v>737</v>
      </c>
      <c r="AG143" s="886" t="s">
        <v>301</v>
      </c>
    </row>
    <row r="144" spans="1:33" ht="105" customHeight="1" x14ac:dyDescent="0.25">
      <c r="A144" s="891"/>
      <c r="B144" s="759" t="s">
        <v>529</v>
      </c>
      <c r="C144" s="659">
        <v>80101706</v>
      </c>
      <c r="D144" s="660" t="s">
        <v>530</v>
      </c>
      <c r="E144" s="759" t="s">
        <v>48</v>
      </c>
      <c r="F144" s="759">
        <v>1</v>
      </c>
      <c r="G144" s="661" t="s">
        <v>73</v>
      </c>
      <c r="H144" s="662">
        <v>5</v>
      </c>
      <c r="I144" s="759" t="s">
        <v>61</v>
      </c>
      <c r="J144" s="759" t="s">
        <v>66</v>
      </c>
      <c r="K144" s="759" t="s">
        <v>601</v>
      </c>
      <c r="L144" s="663">
        <v>18375000</v>
      </c>
      <c r="M144" s="664">
        <v>18375000</v>
      </c>
      <c r="N144" s="759" t="s">
        <v>51</v>
      </c>
      <c r="O144" s="759" t="s">
        <v>36</v>
      </c>
      <c r="P144" s="759" t="s">
        <v>531</v>
      </c>
      <c r="Q144" s="80"/>
      <c r="R144" s="887"/>
      <c r="S144" s="887"/>
      <c r="T144" s="889"/>
      <c r="U144" s="887"/>
      <c r="V144" s="887"/>
      <c r="W144" s="692"/>
      <c r="X144" s="692">
        <v>18375000</v>
      </c>
      <c r="Y144" s="692">
        <v>18375000</v>
      </c>
      <c r="Z144" s="692">
        <v>18375000</v>
      </c>
      <c r="AA144" s="887"/>
      <c r="AB144" s="887"/>
      <c r="AC144" s="887"/>
      <c r="AD144" s="889"/>
      <c r="AE144" s="889"/>
      <c r="AF144" s="887"/>
      <c r="AG144" s="887"/>
    </row>
    <row r="145" spans="1:33" ht="156" x14ac:dyDescent="0.25">
      <c r="A145" s="658">
        <f>SUM(A143+1)</f>
        <v>99</v>
      </c>
      <c r="B145" s="759" t="s">
        <v>529</v>
      </c>
      <c r="C145" s="659">
        <v>80101706</v>
      </c>
      <c r="D145" s="660" t="s">
        <v>530</v>
      </c>
      <c r="E145" s="759" t="s">
        <v>48</v>
      </c>
      <c r="F145" s="759">
        <v>1</v>
      </c>
      <c r="G145" s="661" t="s">
        <v>73</v>
      </c>
      <c r="H145" s="662">
        <v>5</v>
      </c>
      <c r="I145" s="759" t="s">
        <v>61</v>
      </c>
      <c r="J145" s="759" t="s">
        <v>66</v>
      </c>
      <c r="K145" s="759" t="s">
        <v>473</v>
      </c>
      <c r="L145" s="663">
        <v>36750000</v>
      </c>
      <c r="M145" s="664">
        <v>36750000</v>
      </c>
      <c r="N145" s="759" t="s">
        <v>51</v>
      </c>
      <c r="O145" s="759" t="s">
        <v>36</v>
      </c>
      <c r="P145" s="759" t="s">
        <v>531</v>
      </c>
      <c r="Q145" s="80"/>
      <c r="R145" s="665" t="s">
        <v>855</v>
      </c>
      <c r="S145" s="665" t="s">
        <v>856</v>
      </c>
      <c r="T145" s="691">
        <v>43109</v>
      </c>
      <c r="U145" s="665" t="s">
        <v>857</v>
      </c>
      <c r="V145" s="665" t="s">
        <v>672</v>
      </c>
      <c r="W145" s="692">
        <v>36750000</v>
      </c>
      <c r="X145" s="692">
        <v>32585000</v>
      </c>
      <c r="Y145" s="692">
        <f>W145-X145</f>
        <v>4165000</v>
      </c>
      <c r="Z145" s="692">
        <f t="shared" si="18"/>
        <v>4165000</v>
      </c>
      <c r="AA145" s="665" t="s">
        <v>858</v>
      </c>
      <c r="AB145" s="665" t="s">
        <v>1308</v>
      </c>
      <c r="AC145" s="665" t="s">
        <v>693</v>
      </c>
      <c r="AD145" s="691">
        <v>43109</v>
      </c>
      <c r="AE145" s="691">
        <v>43259</v>
      </c>
      <c r="AF145" s="665" t="s">
        <v>852</v>
      </c>
      <c r="AG145" s="665" t="s">
        <v>843</v>
      </c>
    </row>
    <row r="146" spans="1:33" ht="116.25" x14ac:dyDescent="0.25">
      <c r="A146" s="658">
        <f t="shared" si="14"/>
        <v>100</v>
      </c>
      <c r="B146" s="759" t="s">
        <v>171</v>
      </c>
      <c r="C146" s="659">
        <v>80101706</v>
      </c>
      <c r="D146" s="660" t="s">
        <v>532</v>
      </c>
      <c r="E146" s="759" t="s">
        <v>48</v>
      </c>
      <c r="F146" s="759">
        <v>1</v>
      </c>
      <c r="G146" s="661" t="s">
        <v>73</v>
      </c>
      <c r="H146" s="662">
        <v>5</v>
      </c>
      <c r="I146" s="759" t="s">
        <v>61</v>
      </c>
      <c r="J146" s="759" t="s">
        <v>66</v>
      </c>
      <c r="K146" s="759" t="s">
        <v>473</v>
      </c>
      <c r="L146" s="663">
        <v>8425000</v>
      </c>
      <c r="M146" s="664">
        <v>8425000</v>
      </c>
      <c r="N146" s="759" t="s">
        <v>51</v>
      </c>
      <c r="O146" s="759" t="s">
        <v>36</v>
      </c>
      <c r="P146" s="759" t="s">
        <v>533</v>
      </c>
      <c r="Q146" s="80"/>
      <c r="R146" s="665" t="s">
        <v>859</v>
      </c>
      <c r="S146" s="665" t="s">
        <v>860</v>
      </c>
      <c r="T146" s="691">
        <v>43109</v>
      </c>
      <c r="U146" s="665" t="s">
        <v>861</v>
      </c>
      <c r="V146" s="665" t="s">
        <v>679</v>
      </c>
      <c r="W146" s="692">
        <v>8425000</v>
      </c>
      <c r="X146" s="692">
        <v>1685000</v>
      </c>
      <c r="Y146" s="692">
        <f>W146+X146</f>
        <v>10110000</v>
      </c>
      <c r="Z146" s="692">
        <f t="shared" si="18"/>
        <v>10110000</v>
      </c>
      <c r="AA146" s="665" t="s">
        <v>862</v>
      </c>
      <c r="AB146" s="665" t="s">
        <v>1309</v>
      </c>
      <c r="AC146" s="665" t="s">
        <v>693</v>
      </c>
      <c r="AD146" s="691">
        <v>43110</v>
      </c>
      <c r="AE146" s="691">
        <v>43260</v>
      </c>
      <c r="AF146" s="665" t="s">
        <v>863</v>
      </c>
      <c r="AG146" s="665" t="s">
        <v>864</v>
      </c>
    </row>
    <row r="147" spans="1:33" ht="136.5" x14ac:dyDescent="0.25">
      <c r="A147" s="658">
        <v>101</v>
      </c>
      <c r="B147" s="759" t="s">
        <v>171</v>
      </c>
      <c r="C147" s="659">
        <v>80101706</v>
      </c>
      <c r="D147" s="660" t="s">
        <v>534</v>
      </c>
      <c r="E147" s="759" t="s">
        <v>48</v>
      </c>
      <c r="F147" s="759">
        <v>1</v>
      </c>
      <c r="G147" s="661" t="s">
        <v>73</v>
      </c>
      <c r="H147" s="662">
        <v>5</v>
      </c>
      <c r="I147" s="759" t="s">
        <v>61</v>
      </c>
      <c r="J147" s="759" t="s">
        <v>66</v>
      </c>
      <c r="K147" s="759" t="s">
        <v>473</v>
      </c>
      <c r="L147" s="663">
        <v>12920000</v>
      </c>
      <c r="M147" s="663">
        <v>12920000</v>
      </c>
      <c r="N147" s="759" t="s">
        <v>51</v>
      </c>
      <c r="O147" s="759" t="s">
        <v>36</v>
      </c>
      <c r="P147" s="759" t="s">
        <v>533</v>
      </c>
      <c r="Q147" s="80"/>
      <c r="R147" s="665" t="s">
        <v>865</v>
      </c>
      <c r="S147" s="665" t="s">
        <v>866</v>
      </c>
      <c r="T147" s="691">
        <v>43119</v>
      </c>
      <c r="U147" s="665" t="s">
        <v>867</v>
      </c>
      <c r="V147" s="665" t="s">
        <v>672</v>
      </c>
      <c r="W147" s="692">
        <v>12920000</v>
      </c>
      <c r="X147" s="692">
        <v>0</v>
      </c>
      <c r="Y147" s="692">
        <v>12920000</v>
      </c>
      <c r="Z147" s="692">
        <v>12920000</v>
      </c>
      <c r="AA147" s="665" t="s">
        <v>868</v>
      </c>
      <c r="AB147" s="665" t="s">
        <v>1310</v>
      </c>
      <c r="AC147" s="665" t="s">
        <v>847</v>
      </c>
      <c r="AD147" s="691">
        <v>43122</v>
      </c>
      <c r="AE147" s="691">
        <v>43272</v>
      </c>
      <c r="AF147" s="665" t="s">
        <v>863</v>
      </c>
      <c r="AG147" s="665" t="s">
        <v>864</v>
      </c>
    </row>
    <row r="148" spans="1:33" ht="116.25" x14ac:dyDescent="0.25">
      <c r="A148" s="658">
        <f t="shared" ref="A148:A153" si="20">SUM(A147+1)</f>
        <v>102</v>
      </c>
      <c r="B148" s="759" t="s">
        <v>171</v>
      </c>
      <c r="C148" s="659">
        <v>80101706</v>
      </c>
      <c r="D148" s="660" t="s">
        <v>534</v>
      </c>
      <c r="E148" s="759" t="s">
        <v>48</v>
      </c>
      <c r="F148" s="759">
        <v>1</v>
      </c>
      <c r="G148" s="661" t="s">
        <v>73</v>
      </c>
      <c r="H148" s="662">
        <v>5</v>
      </c>
      <c r="I148" s="759" t="s">
        <v>61</v>
      </c>
      <c r="J148" s="759" t="s">
        <v>66</v>
      </c>
      <c r="K148" s="759" t="s">
        <v>473</v>
      </c>
      <c r="L148" s="663">
        <v>36750000</v>
      </c>
      <c r="M148" s="664">
        <v>36750000</v>
      </c>
      <c r="N148" s="759" t="s">
        <v>51</v>
      </c>
      <c r="O148" s="759" t="s">
        <v>36</v>
      </c>
      <c r="P148" s="759" t="s">
        <v>533</v>
      </c>
      <c r="Q148" s="80"/>
      <c r="R148" s="665" t="s">
        <v>869</v>
      </c>
      <c r="S148" s="665" t="s">
        <v>870</v>
      </c>
      <c r="T148" s="691">
        <v>43109</v>
      </c>
      <c r="U148" s="665" t="s">
        <v>871</v>
      </c>
      <c r="V148" s="665" t="s">
        <v>672</v>
      </c>
      <c r="W148" s="692">
        <v>36750000</v>
      </c>
      <c r="X148" s="692">
        <v>7350000</v>
      </c>
      <c r="Y148" s="692">
        <f>W148+X148</f>
        <v>44100000</v>
      </c>
      <c r="Z148" s="692">
        <f t="shared" ref="Z148:Z151" si="21">Y148</f>
        <v>44100000</v>
      </c>
      <c r="AA148" s="665" t="s">
        <v>872</v>
      </c>
      <c r="AB148" s="665" t="s">
        <v>1311</v>
      </c>
      <c r="AC148" s="665" t="s">
        <v>693</v>
      </c>
      <c r="AD148" s="691">
        <v>43118</v>
      </c>
      <c r="AE148" s="691">
        <v>43268</v>
      </c>
      <c r="AF148" s="665" t="s">
        <v>863</v>
      </c>
      <c r="AG148" s="665" t="s">
        <v>864</v>
      </c>
    </row>
    <row r="149" spans="1:33" ht="92.45" customHeight="1" x14ac:dyDescent="0.25">
      <c r="A149" s="658">
        <f t="shared" si="20"/>
        <v>103</v>
      </c>
      <c r="B149" s="759" t="s">
        <v>538</v>
      </c>
      <c r="C149" s="659">
        <v>80101706</v>
      </c>
      <c r="D149" s="660" t="s">
        <v>539</v>
      </c>
      <c r="E149" s="759" t="s">
        <v>48</v>
      </c>
      <c r="F149" s="759">
        <v>1</v>
      </c>
      <c r="G149" s="661" t="s">
        <v>73</v>
      </c>
      <c r="H149" s="662">
        <v>5</v>
      </c>
      <c r="I149" s="759" t="s">
        <v>61</v>
      </c>
      <c r="J149" s="759" t="s">
        <v>66</v>
      </c>
      <c r="K149" s="759" t="s">
        <v>473</v>
      </c>
      <c r="L149" s="663">
        <v>23500000</v>
      </c>
      <c r="M149" s="664">
        <v>23500000</v>
      </c>
      <c r="N149" s="759" t="s">
        <v>51</v>
      </c>
      <c r="O149" s="759" t="s">
        <v>36</v>
      </c>
      <c r="P149" s="759" t="s">
        <v>540</v>
      </c>
      <c r="Q149" s="80"/>
      <c r="R149" s="665" t="s">
        <v>873</v>
      </c>
      <c r="S149" s="665" t="s">
        <v>874</v>
      </c>
      <c r="T149" s="691">
        <v>43110</v>
      </c>
      <c r="U149" s="665" t="s">
        <v>875</v>
      </c>
      <c r="V149" s="665" t="s">
        <v>672</v>
      </c>
      <c r="W149" s="692">
        <v>23500000</v>
      </c>
      <c r="X149" s="692">
        <v>4700000</v>
      </c>
      <c r="Y149" s="692">
        <f>W149+X149</f>
        <v>28200000</v>
      </c>
      <c r="Z149" s="692">
        <f t="shared" si="21"/>
        <v>28200000</v>
      </c>
      <c r="AA149" s="665" t="s">
        <v>876</v>
      </c>
      <c r="AB149" s="665" t="s">
        <v>1302</v>
      </c>
      <c r="AC149" s="665" t="s">
        <v>693</v>
      </c>
      <c r="AD149" s="691">
        <v>43115</v>
      </c>
      <c r="AE149" s="691">
        <v>43265</v>
      </c>
      <c r="AF149" s="665" t="s">
        <v>877</v>
      </c>
      <c r="AG149" s="665" t="s">
        <v>538</v>
      </c>
    </row>
    <row r="150" spans="1:33" ht="92.45" customHeight="1" x14ac:dyDescent="0.25">
      <c r="A150" s="658">
        <f t="shared" si="20"/>
        <v>104</v>
      </c>
      <c r="B150" s="759" t="s">
        <v>538</v>
      </c>
      <c r="C150" s="659">
        <v>80101706</v>
      </c>
      <c r="D150" s="660" t="s">
        <v>539</v>
      </c>
      <c r="E150" s="759" t="s">
        <v>48</v>
      </c>
      <c r="F150" s="759">
        <v>1</v>
      </c>
      <c r="G150" s="661" t="s">
        <v>73</v>
      </c>
      <c r="H150" s="662">
        <v>5</v>
      </c>
      <c r="I150" s="759" t="s">
        <v>61</v>
      </c>
      <c r="J150" s="759" t="s">
        <v>66</v>
      </c>
      <c r="K150" s="759" t="s">
        <v>473</v>
      </c>
      <c r="L150" s="663">
        <v>19000000</v>
      </c>
      <c r="M150" s="664">
        <v>19000000</v>
      </c>
      <c r="N150" s="759" t="s">
        <v>51</v>
      </c>
      <c r="O150" s="759" t="s">
        <v>36</v>
      </c>
      <c r="P150" s="759" t="s">
        <v>540</v>
      </c>
      <c r="Q150" s="80"/>
      <c r="R150" s="665" t="s">
        <v>878</v>
      </c>
      <c r="S150" s="665" t="s">
        <v>879</v>
      </c>
      <c r="T150" s="691">
        <v>43109</v>
      </c>
      <c r="U150" s="665" t="s">
        <v>880</v>
      </c>
      <c r="V150" s="665" t="s">
        <v>672</v>
      </c>
      <c r="W150" s="692">
        <v>19000000</v>
      </c>
      <c r="X150" s="692">
        <v>3800000</v>
      </c>
      <c r="Y150" s="692">
        <f>W150+X150</f>
        <v>22800000</v>
      </c>
      <c r="Z150" s="692">
        <f t="shared" si="21"/>
        <v>22800000</v>
      </c>
      <c r="AA150" s="665" t="s">
        <v>881</v>
      </c>
      <c r="AB150" s="665" t="s">
        <v>1312</v>
      </c>
      <c r="AC150" s="665" t="s">
        <v>693</v>
      </c>
      <c r="AD150" s="691">
        <v>43116</v>
      </c>
      <c r="AE150" s="691">
        <v>43266</v>
      </c>
      <c r="AF150" s="665" t="s">
        <v>877</v>
      </c>
      <c r="AG150" s="665" t="s">
        <v>538</v>
      </c>
    </row>
    <row r="151" spans="1:33" ht="94.15" customHeight="1" x14ac:dyDescent="0.25">
      <c r="A151" s="658">
        <f t="shared" si="20"/>
        <v>105</v>
      </c>
      <c r="B151" s="759" t="s">
        <v>538</v>
      </c>
      <c r="C151" s="659">
        <v>80101706</v>
      </c>
      <c r="D151" s="660" t="s">
        <v>539</v>
      </c>
      <c r="E151" s="759" t="s">
        <v>48</v>
      </c>
      <c r="F151" s="759">
        <v>1</v>
      </c>
      <c r="G151" s="661" t="s">
        <v>73</v>
      </c>
      <c r="H151" s="662">
        <v>5</v>
      </c>
      <c r="I151" s="759" t="s">
        <v>61</v>
      </c>
      <c r="J151" s="759" t="s">
        <v>66</v>
      </c>
      <c r="K151" s="759" t="s">
        <v>473</v>
      </c>
      <c r="L151" s="663">
        <v>21000000</v>
      </c>
      <c r="M151" s="664">
        <v>21000000</v>
      </c>
      <c r="N151" s="759" t="s">
        <v>51</v>
      </c>
      <c r="O151" s="759" t="s">
        <v>36</v>
      </c>
      <c r="P151" s="759" t="s">
        <v>540</v>
      </c>
      <c r="Q151" s="80"/>
      <c r="R151" s="665" t="s">
        <v>882</v>
      </c>
      <c r="S151" s="665" t="s">
        <v>883</v>
      </c>
      <c r="T151" s="691">
        <v>43109</v>
      </c>
      <c r="U151" s="665" t="s">
        <v>884</v>
      </c>
      <c r="V151" s="665" t="s">
        <v>672</v>
      </c>
      <c r="W151" s="692">
        <v>21000000</v>
      </c>
      <c r="X151" s="692">
        <v>4200000</v>
      </c>
      <c r="Y151" s="692">
        <f t="shared" ref="Y151" si="22">W151+X151</f>
        <v>25200000</v>
      </c>
      <c r="Z151" s="692">
        <f t="shared" si="21"/>
        <v>25200000</v>
      </c>
      <c r="AA151" s="665" t="s">
        <v>885</v>
      </c>
      <c r="AB151" s="665" t="s">
        <v>1313</v>
      </c>
      <c r="AC151" s="665" t="s">
        <v>693</v>
      </c>
      <c r="AD151" s="691">
        <v>43112</v>
      </c>
      <c r="AE151" s="691">
        <v>43262</v>
      </c>
      <c r="AF151" s="665" t="s">
        <v>877</v>
      </c>
      <c r="AG151" s="665" t="s">
        <v>538</v>
      </c>
    </row>
    <row r="152" spans="1:33" ht="114.95" customHeight="1" x14ac:dyDescent="0.25">
      <c r="A152" s="586">
        <f t="shared" si="20"/>
        <v>106</v>
      </c>
      <c r="B152" s="587" t="s">
        <v>171</v>
      </c>
      <c r="C152" s="755">
        <v>81100000</v>
      </c>
      <c r="D152" s="589" t="s">
        <v>60</v>
      </c>
      <c r="E152" s="587" t="s">
        <v>48</v>
      </c>
      <c r="F152" s="587">
        <v>1</v>
      </c>
      <c r="G152" s="590" t="s">
        <v>180</v>
      </c>
      <c r="H152" s="591">
        <v>12</v>
      </c>
      <c r="I152" s="587" t="s">
        <v>55</v>
      </c>
      <c r="J152" s="587" t="s">
        <v>35</v>
      </c>
      <c r="K152" s="587" t="s">
        <v>38</v>
      </c>
      <c r="L152" s="592">
        <v>5500000</v>
      </c>
      <c r="M152" s="593">
        <v>5500000</v>
      </c>
      <c r="N152" s="587" t="s">
        <v>51</v>
      </c>
      <c r="O152" s="587" t="s">
        <v>36</v>
      </c>
      <c r="P152" s="587" t="s">
        <v>533</v>
      </c>
      <c r="Q152" s="80"/>
      <c r="R152" s="673" t="s">
        <v>148</v>
      </c>
      <c r="S152" s="673" t="s">
        <v>148</v>
      </c>
      <c r="T152" s="693" t="s">
        <v>148</v>
      </c>
      <c r="U152" s="673" t="s">
        <v>148</v>
      </c>
      <c r="V152" s="673" t="s">
        <v>148</v>
      </c>
      <c r="W152" s="694">
        <v>0</v>
      </c>
      <c r="X152" s="694">
        <v>0</v>
      </c>
      <c r="Y152" s="694">
        <v>0</v>
      </c>
      <c r="Z152" s="694">
        <v>0</v>
      </c>
      <c r="AA152" s="673" t="s">
        <v>148</v>
      </c>
      <c r="AB152" s="673" t="s">
        <v>148</v>
      </c>
      <c r="AC152" s="673" t="s">
        <v>148</v>
      </c>
      <c r="AD152" s="693" t="s">
        <v>148</v>
      </c>
      <c r="AE152" s="693" t="s">
        <v>148</v>
      </c>
      <c r="AF152" s="673" t="s">
        <v>148</v>
      </c>
      <c r="AG152" s="673" t="s">
        <v>148</v>
      </c>
    </row>
    <row r="153" spans="1:33" ht="114.95" customHeight="1" x14ac:dyDescent="0.25">
      <c r="A153" s="586">
        <f t="shared" si="20"/>
        <v>107</v>
      </c>
      <c r="B153" s="587" t="s">
        <v>171</v>
      </c>
      <c r="C153" s="755" t="s">
        <v>535</v>
      </c>
      <c r="D153" s="589" t="s">
        <v>536</v>
      </c>
      <c r="E153" s="587" t="s">
        <v>48</v>
      </c>
      <c r="F153" s="587">
        <v>1</v>
      </c>
      <c r="G153" s="590" t="s">
        <v>79</v>
      </c>
      <c r="H153" s="591">
        <v>12</v>
      </c>
      <c r="I153" s="587" t="s">
        <v>55</v>
      </c>
      <c r="J153" s="587" t="s">
        <v>35</v>
      </c>
      <c r="K153" s="587" t="s">
        <v>439</v>
      </c>
      <c r="L153" s="592">
        <v>21000000</v>
      </c>
      <c r="M153" s="593">
        <v>21000000</v>
      </c>
      <c r="N153" s="587" t="s">
        <v>49</v>
      </c>
      <c r="O153" s="587" t="s">
        <v>445</v>
      </c>
      <c r="P153" s="587" t="s">
        <v>533</v>
      </c>
      <c r="Q153" s="80"/>
      <c r="R153" s="673" t="s">
        <v>148</v>
      </c>
      <c r="S153" s="673" t="s">
        <v>148</v>
      </c>
      <c r="T153" s="693" t="s">
        <v>148</v>
      </c>
      <c r="U153" s="673" t="s">
        <v>148</v>
      </c>
      <c r="V153" s="673" t="s">
        <v>148</v>
      </c>
      <c r="W153" s="694">
        <v>0</v>
      </c>
      <c r="X153" s="694">
        <v>0</v>
      </c>
      <c r="Y153" s="694">
        <v>0</v>
      </c>
      <c r="Z153" s="694">
        <v>0</v>
      </c>
      <c r="AA153" s="673" t="s">
        <v>148</v>
      </c>
      <c r="AB153" s="673" t="s">
        <v>148</v>
      </c>
      <c r="AC153" s="673" t="s">
        <v>148</v>
      </c>
      <c r="AD153" s="693" t="s">
        <v>148</v>
      </c>
      <c r="AE153" s="693" t="s">
        <v>148</v>
      </c>
      <c r="AF153" s="673" t="s">
        <v>148</v>
      </c>
      <c r="AG153" s="673" t="s">
        <v>148</v>
      </c>
    </row>
    <row r="154" spans="1:33" ht="189.95" customHeight="1" x14ac:dyDescent="0.25">
      <c r="A154" s="658">
        <v>108</v>
      </c>
      <c r="B154" s="759" t="s">
        <v>490</v>
      </c>
      <c r="C154" s="659">
        <v>80101706</v>
      </c>
      <c r="D154" s="660" t="s">
        <v>537</v>
      </c>
      <c r="E154" s="759" t="s">
        <v>48</v>
      </c>
      <c r="F154" s="759">
        <v>1</v>
      </c>
      <c r="G154" s="661" t="s">
        <v>73</v>
      </c>
      <c r="H154" s="662">
        <v>5</v>
      </c>
      <c r="I154" s="759" t="s">
        <v>61</v>
      </c>
      <c r="J154" s="759" t="s">
        <v>66</v>
      </c>
      <c r="K154" s="759" t="s">
        <v>583</v>
      </c>
      <c r="L154" s="663">
        <v>21200000</v>
      </c>
      <c r="M154" s="664">
        <v>21200000</v>
      </c>
      <c r="N154" s="759" t="s">
        <v>51</v>
      </c>
      <c r="O154" s="759" t="s">
        <v>36</v>
      </c>
      <c r="P154" s="759" t="s">
        <v>308</v>
      </c>
      <c r="Q154" s="80"/>
      <c r="R154" s="665" t="s">
        <v>886</v>
      </c>
      <c r="S154" s="665" t="s">
        <v>573</v>
      </c>
      <c r="T154" s="691">
        <v>43105</v>
      </c>
      <c r="U154" s="665" t="s">
        <v>887</v>
      </c>
      <c r="V154" s="665" t="s">
        <v>672</v>
      </c>
      <c r="W154" s="692">
        <v>21200000</v>
      </c>
      <c r="X154" s="692">
        <v>16960000</v>
      </c>
      <c r="Y154" s="692">
        <f>W154-X154</f>
        <v>4240000</v>
      </c>
      <c r="Z154" s="692">
        <f t="shared" ref="Z154:Z162" si="23">Y154</f>
        <v>4240000</v>
      </c>
      <c r="AA154" s="665" t="s">
        <v>888</v>
      </c>
      <c r="AB154" s="665" t="s">
        <v>1314</v>
      </c>
      <c r="AC154" s="665" t="s">
        <v>693</v>
      </c>
      <c r="AD154" s="691">
        <v>43105</v>
      </c>
      <c r="AE154" s="691">
        <v>43255</v>
      </c>
      <c r="AF154" s="665" t="s">
        <v>889</v>
      </c>
      <c r="AG154" s="665" t="s">
        <v>890</v>
      </c>
    </row>
    <row r="155" spans="1:33" ht="171" customHeight="1" x14ac:dyDescent="0.25">
      <c r="A155" s="658">
        <f t="shared" ref="A155:A186" si="24">SUM(A154+1)</f>
        <v>109</v>
      </c>
      <c r="B155" s="759" t="s">
        <v>490</v>
      </c>
      <c r="C155" s="659">
        <v>80101706</v>
      </c>
      <c r="D155" s="660" t="s">
        <v>537</v>
      </c>
      <c r="E155" s="759" t="s">
        <v>48</v>
      </c>
      <c r="F155" s="759">
        <v>1</v>
      </c>
      <c r="G155" s="661" t="s">
        <v>73</v>
      </c>
      <c r="H155" s="662">
        <v>5</v>
      </c>
      <c r="I155" s="759" t="s">
        <v>61</v>
      </c>
      <c r="J155" s="759" t="s">
        <v>66</v>
      </c>
      <c r="K155" s="759" t="s">
        <v>583</v>
      </c>
      <c r="L155" s="663">
        <v>21200000</v>
      </c>
      <c r="M155" s="664">
        <v>21200000</v>
      </c>
      <c r="N155" s="759" t="s">
        <v>51</v>
      </c>
      <c r="O155" s="759" t="s">
        <v>36</v>
      </c>
      <c r="P155" s="759" t="s">
        <v>308</v>
      </c>
      <c r="Q155" s="80"/>
      <c r="R155" s="665" t="s">
        <v>891</v>
      </c>
      <c r="S155" s="665" t="s">
        <v>892</v>
      </c>
      <c r="T155" s="691">
        <v>43109</v>
      </c>
      <c r="U155" s="665" t="s">
        <v>893</v>
      </c>
      <c r="V155" s="665" t="s">
        <v>672</v>
      </c>
      <c r="W155" s="692">
        <v>21200000</v>
      </c>
      <c r="X155" s="692">
        <v>4240000</v>
      </c>
      <c r="Y155" s="692">
        <f t="shared" ref="Y155:Y160" si="25">W155+X155</f>
        <v>25440000</v>
      </c>
      <c r="Z155" s="692">
        <f t="shared" si="23"/>
        <v>25440000</v>
      </c>
      <c r="AA155" s="665" t="s">
        <v>888</v>
      </c>
      <c r="AB155" s="665" t="s">
        <v>1306</v>
      </c>
      <c r="AC155" s="665" t="s">
        <v>693</v>
      </c>
      <c r="AD155" s="691">
        <v>43109</v>
      </c>
      <c r="AE155" s="691">
        <v>43259</v>
      </c>
      <c r="AF155" s="665" t="s">
        <v>889</v>
      </c>
      <c r="AG155" s="665" t="s">
        <v>890</v>
      </c>
    </row>
    <row r="156" spans="1:33" ht="189.95" customHeight="1" x14ac:dyDescent="0.25">
      <c r="A156" s="658">
        <f t="shared" si="24"/>
        <v>110</v>
      </c>
      <c r="B156" s="759" t="s">
        <v>490</v>
      </c>
      <c r="C156" s="659">
        <v>80101706</v>
      </c>
      <c r="D156" s="660" t="s">
        <v>537</v>
      </c>
      <c r="E156" s="759" t="s">
        <v>48</v>
      </c>
      <c r="F156" s="759">
        <v>1</v>
      </c>
      <c r="G156" s="661" t="s">
        <v>73</v>
      </c>
      <c r="H156" s="662">
        <v>5</v>
      </c>
      <c r="I156" s="759" t="s">
        <v>61</v>
      </c>
      <c r="J156" s="759" t="s">
        <v>66</v>
      </c>
      <c r="K156" s="759" t="s">
        <v>583</v>
      </c>
      <c r="L156" s="663">
        <v>35000000</v>
      </c>
      <c r="M156" s="664">
        <v>35000000</v>
      </c>
      <c r="N156" s="759" t="s">
        <v>51</v>
      </c>
      <c r="O156" s="759" t="s">
        <v>36</v>
      </c>
      <c r="P156" s="759" t="s">
        <v>308</v>
      </c>
      <c r="Q156" s="80"/>
      <c r="R156" s="665" t="s">
        <v>894</v>
      </c>
      <c r="S156" s="665" t="s">
        <v>895</v>
      </c>
      <c r="T156" s="691">
        <v>43109</v>
      </c>
      <c r="U156" s="665" t="s">
        <v>896</v>
      </c>
      <c r="V156" s="665" t="s">
        <v>672</v>
      </c>
      <c r="W156" s="692">
        <v>35000000</v>
      </c>
      <c r="X156" s="692">
        <v>7000000</v>
      </c>
      <c r="Y156" s="692">
        <f t="shared" si="25"/>
        <v>42000000</v>
      </c>
      <c r="Z156" s="692">
        <f t="shared" si="23"/>
        <v>42000000</v>
      </c>
      <c r="AA156" s="665" t="s">
        <v>897</v>
      </c>
      <c r="AB156" s="665" t="s">
        <v>1315</v>
      </c>
      <c r="AC156" s="665" t="s">
        <v>693</v>
      </c>
      <c r="AD156" s="691">
        <v>43115</v>
      </c>
      <c r="AE156" s="691">
        <v>43265</v>
      </c>
      <c r="AF156" s="665" t="s">
        <v>898</v>
      </c>
      <c r="AG156" s="665" t="s">
        <v>890</v>
      </c>
    </row>
    <row r="157" spans="1:33" ht="171" customHeight="1" x14ac:dyDescent="0.25">
      <c r="A157" s="658">
        <f t="shared" si="24"/>
        <v>111</v>
      </c>
      <c r="B157" s="759" t="s">
        <v>490</v>
      </c>
      <c r="C157" s="659">
        <v>80101706</v>
      </c>
      <c r="D157" s="660" t="s">
        <v>537</v>
      </c>
      <c r="E157" s="759" t="s">
        <v>48</v>
      </c>
      <c r="F157" s="759">
        <v>1</v>
      </c>
      <c r="G157" s="661" t="s">
        <v>73</v>
      </c>
      <c r="H157" s="662">
        <v>5</v>
      </c>
      <c r="I157" s="759" t="s">
        <v>61</v>
      </c>
      <c r="J157" s="759" t="s">
        <v>66</v>
      </c>
      <c r="K157" s="759" t="s">
        <v>583</v>
      </c>
      <c r="L157" s="663">
        <v>32550000</v>
      </c>
      <c r="M157" s="664">
        <v>32550000</v>
      </c>
      <c r="N157" s="759" t="s">
        <v>51</v>
      </c>
      <c r="O157" s="759" t="s">
        <v>36</v>
      </c>
      <c r="P157" s="759" t="s">
        <v>308</v>
      </c>
      <c r="Q157" s="80"/>
      <c r="R157" s="665" t="s">
        <v>899</v>
      </c>
      <c r="S157" s="665" t="s">
        <v>243</v>
      </c>
      <c r="T157" s="691">
        <v>43109</v>
      </c>
      <c r="U157" s="665" t="s">
        <v>900</v>
      </c>
      <c r="V157" s="665" t="s">
        <v>672</v>
      </c>
      <c r="W157" s="692">
        <v>32550000</v>
      </c>
      <c r="X157" s="692">
        <v>6510000</v>
      </c>
      <c r="Y157" s="692">
        <f t="shared" si="25"/>
        <v>39060000</v>
      </c>
      <c r="Z157" s="692">
        <f t="shared" si="23"/>
        <v>39060000</v>
      </c>
      <c r="AA157" s="665" t="s">
        <v>901</v>
      </c>
      <c r="AB157" s="665" t="s">
        <v>1316</v>
      </c>
      <c r="AC157" s="665" t="s">
        <v>693</v>
      </c>
      <c r="AD157" s="691">
        <v>43109</v>
      </c>
      <c r="AE157" s="691">
        <v>43259</v>
      </c>
      <c r="AF157" s="665" t="s">
        <v>902</v>
      </c>
      <c r="AG157" s="665" t="s">
        <v>890</v>
      </c>
    </row>
    <row r="158" spans="1:33" ht="171" customHeight="1" x14ac:dyDescent="0.25">
      <c r="A158" s="658">
        <f t="shared" si="24"/>
        <v>112</v>
      </c>
      <c r="B158" s="759" t="s">
        <v>490</v>
      </c>
      <c r="C158" s="659">
        <v>80101706</v>
      </c>
      <c r="D158" s="660" t="s">
        <v>537</v>
      </c>
      <c r="E158" s="759" t="s">
        <v>48</v>
      </c>
      <c r="F158" s="759">
        <v>1</v>
      </c>
      <c r="G158" s="661" t="s">
        <v>73</v>
      </c>
      <c r="H158" s="662">
        <v>5</v>
      </c>
      <c r="I158" s="759" t="s">
        <v>61</v>
      </c>
      <c r="J158" s="759" t="s">
        <v>66</v>
      </c>
      <c r="K158" s="759" t="s">
        <v>583</v>
      </c>
      <c r="L158" s="663">
        <v>32550000</v>
      </c>
      <c r="M158" s="664">
        <v>32550000</v>
      </c>
      <c r="N158" s="759" t="s">
        <v>51</v>
      </c>
      <c r="O158" s="759" t="s">
        <v>36</v>
      </c>
      <c r="P158" s="759" t="s">
        <v>308</v>
      </c>
      <c r="Q158" s="80"/>
      <c r="R158" s="665" t="s">
        <v>903</v>
      </c>
      <c r="S158" s="665" t="s">
        <v>904</v>
      </c>
      <c r="T158" s="691">
        <v>43109</v>
      </c>
      <c r="U158" s="665" t="s">
        <v>905</v>
      </c>
      <c r="V158" s="665" t="s">
        <v>672</v>
      </c>
      <c r="W158" s="692">
        <v>32550000</v>
      </c>
      <c r="X158" s="692">
        <v>6510000</v>
      </c>
      <c r="Y158" s="692">
        <f t="shared" si="25"/>
        <v>39060000</v>
      </c>
      <c r="Z158" s="692">
        <f t="shared" si="23"/>
        <v>39060000</v>
      </c>
      <c r="AA158" s="665" t="s">
        <v>901</v>
      </c>
      <c r="AB158" s="665" t="s">
        <v>1317</v>
      </c>
      <c r="AC158" s="665" t="s">
        <v>693</v>
      </c>
      <c r="AD158" s="691">
        <v>43110</v>
      </c>
      <c r="AE158" s="691">
        <v>43260</v>
      </c>
      <c r="AF158" s="665" t="s">
        <v>906</v>
      </c>
      <c r="AG158" s="665" t="s">
        <v>890</v>
      </c>
    </row>
    <row r="159" spans="1:33" ht="171" customHeight="1" x14ac:dyDescent="0.25">
      <c r="A159" s="658">
        <f t="shared" si="24"/>
        <v>113</v>
      </c>
      <c r="B159" s="759" t="s">
        <v>490</v>
      </c>
      <c r="C159" s="659">
        <v>80101706</v>
      </c>
      <c r="D159" s="660" t="s">
        <v>537</v>
      </c>
      <c r="E159" s="759" t="s">
        <v>48</v>
      </c>
      <c r="F159" s="759">
        <v>1</v>
      </c>
      <c r="G159" s="661" t="s">
        <v>73</v>
      </c>
      <c r="H159" s="662">
        <v>5</v>
      </c>
      <c r="I159" s="759" t="s">
        <v>61</v>
      </c>
      <c r="J159" s="759" t="s">
        <v>66</v>
      </c>
      <c r="K159" s="759" t="s">
        <v>583</v>
      </c>
      <c r="L159" s="663">
        <v>32550000</v>
      </c>
      <c r="M159" s="664">
        <v>32550000</v>
      </c>
      <c r="N159" s="759" t="s">
        <v>51</v>
      </c>
      <c r="O159" s="759" t="s">
        <v>36</v>
      </c>
      <c r="P159" s="759" t="s">
        <v>308</v>
      </c>
      <c r="Q159" s="80"/>
      <c r="R159" s="665" t="s">
        <v>907</v>
      </c>
      <c r="S159" s="665" t="s">
        <v>908</v>
      </c>
      <c r="T159" s="691">
        <v>43109</v>
      </c>
      <c r="U159" s="665" t="s">
        <v>900</v>
      </c>
      <c r="V159" s="665" t="s">
        <v>672</v>
      </c>
      <c r="W159" s="692">
        <v>32550000</v>
      </c>
      <c r="X159" s="692">
        <v>6510000</v>
      </c>
      <c r="Y159" s="692">
        <f t="shared" si="25"/>
        <v>39060000</v>
      </c>
      <c r="Z159" s="692">
        <f t="shared" si="23"/>
        <v>39060000</v>
      </c>
      <c r="AA159" s="665" t="s">
        <v>909</v>
      </c>
      <c r="AB159" s="665" t="s">
        <v>1318</v>
      </c>
      <c r="AC159" s="665" t="s">
        <v>693</v>
      </c>
      <c r="AD159" s="691">
        <v>43110</v>
      </c>
      <c r="AE159" s="691">
        <v>43260</v>
      </c>
      <c r="AF159" s="665" t="s">
        <v>898</v>
      </c>
      <c r="AG159" s="665" t="s">
        <v>890</v>
      </c>
    </row>
    <row r="160" spans="1:33" ht="156" x14ac:dyDescent="0.25">
      <c r="A160" s="658">
        <f t="shared" si="24"/>
        <v>114</v>
      </c>
      <c r="B160" s="759" t="s">
        <v>235</v>
      </c>
      <c r="C160" s="659">
        <v>80101706</v>
      </c>
      <c r="D160" s="660" t="s">
        <v>541</v>
      </c>
      <c r="E160" s="759" t="s">
        <v>48</v>
      </c>
      <c r="F160" s="759">
        <v>1</v>
      </c>
      <c r="G160" s="661" t="s">
        <v>73</v>
      </c>
      <c r="H160" s="662">
        <v>5</v>
      </c>
      <c r="I160" s="759" t="s">
        <v>61</v>
      </c>
      <c r="J160" s="759" t="s">
        <v>66</v>
      </c>
      <c r="K160" s="759" t="s">
        <v>473</v>
      </c>
      <c r="L160" s="663">
        <v>18020000</v>
      </c>
      <c r="M160" s="664">
        <v>18020000</v>
      </c>
      <c r="N160" s="759" t="s">
        <v>51</v>
      </c>
      <c r="O160" s="759" t="s">
        <v>36</v>
      </c>
      <c r="P160" s="759" t="s">
        <v>499</v>
      </c>
      <c r="Q160" s="80"/>
      <c r="R160" s="665" t="s">
        <v>910</v>
      </c>
      <c r="S160" s="665" t="s">
        <v>307</v>
      </c>
      <c r="T160" s="691">
        <v>43109</v>
      </c>
      <c r="U160" s="665" t="s">
        <v>911</v>
      </c>
      <c r="V160" s="665" t="s">
        <v>672</v>
      </c>
      <c r="W160" s="692">
        <v>18020000</v>
      </c>
      <c r="X160" s="692">
        <v>3604000</v>
      </c>
      <c r="Y160" s="692">
        <f t="shared" si="25"/>
        <v>21624000</v>
      </c>
      <c r="Z160" s="692">
        <f t="shared" si="23"/>
        <v>21624000</v>
      </c>
      <c r="AA160" s="665" t="s">
        <v>1254</v>
      </c>
      <c r="AB160" s="665" t="s">
        <v>1319</v>
      </c>
      <c r="AC160" s="665" t="s">
        <v>693</v>
      </c>
      <c r="AD160" s="691">
        <v>43110</v>
      </c>
      <c r="AE160" s="691">
        <v>43260</v>
      </c>
      <c r="AF160" s="665" t="s">
        <v>694</v>
      </c>
      <c r="AG160" s="665" t="s">
        <v>235</v>
      </c>
    </row>
    <row r="161" spans="1:33" ht="136.5" x14ac:dyDescent="0.25">
      <c r="A161" s="658">
        <f t="shared" si="24"/>
        <v>115</v>
      </c>
      <c r="B161" s="759" t="s">
        <v>235</v>
      </c>
      <c r="C161" s="659">
        <v>80101706</v>
      </c>
      <c r="D161" s="660" t="s">
        <v>541</v>
      </c>
      <c r="E161" s="759" t="s">
        <v>48</v>
      </c>
      <c r="F161" s="759">
        <v>1</v>
      </c>
      <c r="G161" s="661" t="s">
        <v>73</v>
      </c>
      <c r="H161" s="662">
        <v>5</v>
      </c>
      <c r="I161" s="759" t="s">
        <v>61</v>
      </c>
      <c r="J161" s="759" t="s">
        <v>66</v>
      </c>
      <c r="K161" s="759" t="s">
        <v>473</v>
      </c>
      <c r="L161" s="663">
        <v>27560000</v>
      </c>
      <c r="M161" s="664">
        <v>27560000</v>
      </c>
      <c r="N161" s="759" t="s">
        <v>51</v>
      </c>
      <c r="O161" s="759" t="s">
        <v>36</v>
      </c>
      <c r="P161" s="759" t="s">
        <v>499</v>
      </c>
      <c r="Q161" s="80"/>
      <c r="R161" s="665" t="s">
        <v>912</v>
      </c>
      <c r="S161" s="665" t="s">
        <v>913</v>
      </c>
      <c r="T161" s="691">
        <v>43109</v>
      </c>
      <c r="U161" s="665" t="s">
        <v>914</v>
      </c>
      <c r="V161" s="665" t="s">
        <v>672</v>
      </c>
      <c r="W161" s="692">
        <v>27560000</v>
      </c>
      <c r="X161" s="692">
        <v>5512000</v>
      </c>
      <c r="Y161" s="692">
        <f>W161+X161</f>
        <v>33072000</v>
      </c>
      <c r="Z161" s="692">
        <f t="shared" si="23"/>
        <v>33072000</v>
      </c>
      <c r="AA161" s="665" t="s">
        <v>915</v>
      </c>
      <c r="AB161" s="665" t="s">
        <v>1320</v>
      </c>
      <c r="AC161" s="665" t="s">
        <v>693</v>
      </c>
      <c r="AD161" s="691">
        <v>43111</v>
      </c>
      <c r="AE161" s="691">
        <v>43261</v>
      </c>
      <c r="AF161" s="665" t="s">
        <v>703</v>
      </c>
      <c r="AG161" s="665" t="s">
        <v>235</v>
      </c>
    </row>
    <row r="162" spans="1:33" ht="117" x14ac:dyDescent="0.25">
      <c r="A162" s="658">
        <f t="shared" si="24"/>
        <v>116</v>
      </c>
      <c r="B162" s="759" t="s">
        <v>235</v>
      </c>
      <c r="C162" s="659">
        <v>80101706</v>
      </c>
      <c r="D162" s="660" t="s">
        <v>541</v>
      </c>
      <c r="E162" s="759" t="s">
        <v>48</v>
      </c>
      <c r="F162" s="759">
        <v>1</v>
      </c>
      <c r="G162" s="661" t="s">
        <v>73</v>
      </c>
      <c r="H162" s="662">
        <v>5</v>
      </c>
      <c r="I162" s="759" t="s">
        <v>61</v>
      </c>
      <c r="J162" s="759" t="s">
        <v>66</v>
      </c>
      <c r="K162" s="759" t="s">
        <v>473</v>
      </c>
      <c r="L162" s="663">
        <v>25040000</v>
      </c>
      <c r="M162" s="664">
        <v>25040000</v>
      </c>
      <c r="N162" s="759" t="s">
        <v>51</v>
      </c>
      <c r="O162" s="759" t="s">
        <v>36</v>
      </c>
      <c r="P162" s="759" t="s">
        <v>499</v>
      </c>
      <c r="Q162" s="80"/>
      <c r="R162" s="665" t="s">
        <v>916</v>
      </c>
      <c r="S162" s="665" t="s">
        <v>917</v>
      </c>
      <c r="T162" s="691">
        <v>43109</v>
      </c>
      <c r="U162" s="665" t="s">
        <v>691</v>
      </c>
      <c r="V162" s="665" t="s">
        <v>672</v>
      </c>
      <c r="W162" s="692">
        <v>25040000</v>
      </c>
      <c r="X162" s="692">
        <v>5008000</v>
      </c>
      <c r="Y162" s="692">
        <f>W162+X162</f>
        <v>30048000</v>
      </c>
      <c r="Z162" s="692">
        <f t="shared" si="23"/>
        <v>30048000</v>
      </c>
      <c r="AA162" s="665" t="s">
        <v>918</v>
      </c>
      <c r="AB162" s="665" t="s">
        <v>1321</v>
      </c>
      <c r="AC162" s="665" t="s">
        <v>693</v>
      </c>
      <c r="AD162" s="691">
        <v>43118</v>
      </c>
      <c r="AE162" s="691">
        <v>43268</v>
      </c>
      <c r="AF162" s="665" t="s">
        <v>694</v>
      </c>
      <c r="AG162" s="665" t="s">
        <v>235</v>
      </c>
    </row>
    <row r="163" spans="1:33" ht="95.1" customHeight="1" x14ac:dyDescent="0.25">
      <c r="A163" s="658">
        <f t="shared" si="24"/>
        <v>117</v>
      </c>
      <c r="B163" s="759" t="s">
        <v>265</v>
      </c>
      <c r="C163" s="659">
        <v>80101706</v>
      </c>
      <c r="D163" s="660" t="s">
        <v>501</v>
      </c>
      <c r="E163" s="759" t="s">
        <v>48</v>
      </c>
      <c r="F163" s="759">
        <v>1</v>
      </c>
      <c r="G163" s="661" t="s">
        <v>73</v>
      </c>
      <c r="H163" s="662">
        <v>3</v>
      </c>
      <c r="I163" s="759" t="s">
        <v>61</v>
      </c>
      <c r="J163" s="759" t="s">
        <v>66</v>
      </c>
      <c r="K163" s="759" t="s">
        <v>601</v>
      </c>
      <c r="L163" s="663">
        <v>21498000</v>
      </c>
      <c r="M163" s="664">
        <v>21498000</v>
      </c>
      <c r="N163" s="759" t="s">
        <v>51</v>
      </c>
      <c r="O163" s="759" t="s">
        <v>36</v>
      </c>
      <c r="P163" s="759" t="s">
        <v>502</v>
      </c>
      <c r="Q163" s="80"/>
      <c r="R163" s="665" t="s">
        <v>919</v>
      </c>
      <c r="S163" s="665" t="s">
        <v>920</v>
      </c>
      <c r="T163" s="691">
        <v>43117</v>
      </c>
      <c r="U163" s="665" t="s">
        <v>921</v>
      </c>
      <c r="V163" s="665" t="s">
        <v>672</v>
      </c>
      <c r="W163" s="692">
        <v>21498000</v>
      </c>
      <c r="X163" s="692">
        <v>0</v>
      </c>
      <c r="Y163" s="692">
        <v>21498000</v>
      </c>
      <c r="Z163" s="692">
        <v>21498000</v>
      </c>
      <c r="AA163" s="665" t="s">
        <v>922</v>
      </c>
      <c r="AB163" s="665" t="s">
        <v>1322</v>
      </c>
      <c r="AC163" s="665" t="s">
        <v>923</v>
      </c>
      <c r="AD163" s="691">
        <v>43122</v>
      </c>
      <c r="AE163" s="691">
        <v>43211</v>
      </c>
      <c r="AF163" s="665" t="s">
        <v>828</v>
      </c>
      <c r="AG163" s="665" t="s">
        <v>829</v>
      </c>
    </row>
    <row r="164" spans="1:33" ht="95.1" customHeight="1" x14ac:dyDescent="0.25">
      <c r="A164" s="658">
        <f t="shared" si="24"/>
        <v>118</v>
      </c>
      <c r="B164" s="759" t="s">
        <v>265</v>
      </c>
      <c r="C164" s="659">
        <v>80101706</v>
      </c>
      <c r="D164" s="660" t="s">
        <v>501</v>
      </c>
      <c r="E164" s="759" t="s">
        <v>48</v>
      </c>
      <c r="F164" s="759">
        <v>1</v>
      </c>
      <c r="G164" s="661" t="s">
        <v>73</v>
      </c>
      <c r="H164" s="662">
        <v>3</v>
      </c>
      <c r="I164" s="759" t="s">
        <v>61</v>
      </c>
      <c r="J164" s="759" t="s">
        <v>66</v>
      </c>
      <c r="K164" s="759" t="s">
        <v>601</v>
      </c>
      <c r="L164" s="663">
        <v>15693000</v>
      </c>
      <c r="M164" s="664">
        <v>15693000</v>
      </c>
      <c r="N164" s="759" t="s">
        <v>51</v>
      </c>
      <c r="O164" s="759" t="s">
        <v>36</v>
      </c>
      <c r="P164" s="759" t="s">
        <v>502</v>
      </c>
      <c r="Q164" s="80"/>
      <c r="R164" s="665" t="s">
        <v>924</v>
      </c>
      <c r="S164" s="665" t="s">
        <v>925</v>
      </c>
      <c r="T164" s="691">
        <v>43117</v>
      </c>
      <c r="U164" s="665" t="s">
        <v>926</v>
      </c>
      <c r="V164" s="665" t="s">
        <v>672</v>
      </c>
      <c r="W164" s="692">
        <v>15693000</v>
      </c>
      <c r="X164" s="692">
        <v>0</v>
      </c>
      <c r="Y164" s="692">
        <v>15693000</v>
      </c>
      <c r="Z164" s="692">
        <v>15693000</v>
      </c>
      <c r="AA164" s="665" t="s">
        <v>927</v>
      </c>
      <c r="AB164" s="665" t="s">
        <v>1323</v>
      </c>
      <c r="AC164" s="665" t="s">
        <v>923</v>
      </c>
      <c r="AD164" s="691">
        <v>43122</v>
      </c>
      <c r="AE164" s="691">
        <v>43211</v>
      </c>
      <c r="AF164" s="665" t="s">
        <v>828</v>
      </c>
      <c r="AG164" s="665" t="s">
        <v>829</v>
      </c>
    </row>
    <row r="165" spans="1:33" ht="132.94999999999999" customHeight="1" x14ac:dyDescent="0.25">
      <c r="A165" s="658">
        <f t="shared" si="24"/>
        <v>119</v>
      </c>
      <c r="B165" s="759" t="s">
        <v>265</v>
      </c>
      <c r="C165" s="659">
        <v>80101706</v>
      </c>
      <c r="D165" s="660" t="s">
        <v>501</v>
      </c>
      <c r="E165" s="759" t="s">
        <v>48</v>
      </c>
      <c r="F165" s="759">
        <v>1</v>
      </c>
      <c r="G165" s="661" t="s">
        <v>73</v>
      </c>
      <c r="H165" s="662">
        <v>3</v>
      </c>
      <c r="I165" s="759" t="s">
        <v>61</v>
      </c>
      <c r="J165" s="759" t="s">
        <v>66</v>
      </c>
      <c r="K165" s="759" t="s">
        <v>601</v>
      </c>
      <c r="L165" s="663">
        <v>19182000</v>
      </c>
      <c r="M165" s="664">
        <v>19182000</v>
      </c>
      <c r="N165" s="759" t="s">
        <v>51</v>
      </c>
      <c r="O165" s="759" t="s">
        <v>36</v>
      </c>
      <c r="P165" s="759" t="s">
        <v>502</v>
      </c>
      <c r="Q165" s="80"/>
      <c r="R165" s="665" t="s">
        <v>928</v>
      </c>
      <c r="S165" s="665" t="s">
        <v>929</v>
      </c>
      <c r="T165" s="691">
        <v>43117</v>
      </c>
      <c r="U165" s="665" t="s">
        <v>930</v>
      </c>
      <c r="V165" s="665" t="s">
        <v>672</v>
      </c>
      <c r="W165" s="692">
        <v>19182000</v>
      </c>
      <c r="X165" s="692">
        <v>0</v>
      </c>
      <c r="Y165" s="692">
        <v>19182000</v>
      </c>
      <c r="Z165" s="692">
        <v>19182000</v>
      </c>
      <c r="AA165" s="665" t="s">
        <v>931</v>
      </c>
      <c r="AB165" s="665" t="s">
        <v>1324</v>
      </c>
      <c r="AC165" s="665" t="s">
        <v>923</v>
      </c>
      <c r="AD165" s="691">
        <v>43122</v>
      </c>
      <c r="AE165" s="691">
        <v>43211</v>
      </c>
      <c r="AF165" s="665" t="s">
        <v>828</v>
      </c>
      <c r="AG165" s="665" t="s">
        <v>829</v>
      </c>
    </row>
    <row r="166" spans="1:33" ht="94.15" customHeight="1" x14ac:dyDescent="0.25">
      <c r="A166" s="658">
        <f t="shared" si="24"/>
        <v>120</v>
      </c>
      <c r="B166" s="759" t="s">
        <v>265</v>
      </c>
      <c r="C166" s="659">
        <v>80101706</v>
      </c>
      <c r="D166" s="660" t="s">
        <v>636</v>
      </c>
      <c r="E166" s="759" t="s">
        <v>48</v>
      </c>
      <c r="F166" s="759">
        <v>1</v>
      </c>
      <c r="G166" s="661" t="s">
        <v>73</v>
      </c>
      <c r="H166" s="662">
        <v>3</v>
      </c>
      <c r="I166" s="759" t="s">
        <v>61</v>
      </c>
      <c r="J166" s="759" t="s">
        <v>66</v>
      </c>
      <c r="K166" s="759" t="s">
        <v>601</v>
      </c>
      <c r="L166" s="663">
        <v>4050000</v>
      </c>
      <c r="M166" s="664">
        <f t="shared" ref="M166:M172" si="26">+L166</f>
        <v>4050000</v>
      </c>
      <c r="N166" s="759" t="s">
        <v>51</v>
      </c>
      <c r="O166" s="759" t="s">
        <v>36</v>
      </c>
      <c r="P166" s="759" t="s">
        <v>502</v>
      </c>
      <c r="Q166" s="80"/>
      <c r="R166" s="665" t="s">
        <v>932</v>
      </c>
      <c r="S166" s="665" t="s">
        <v>933</v>
      </c>
      <c r="T166" s="691">
        <v>43117</v>
      </c>
      <c r="U166" s="665" t="s">
        <v>934</v>
      </c>
      <c r="V166" s="665" t="s">
        <v>679</v>
      </c>
      <c r="W166" s="692">
        <v>4050000</v>
      </c>
      <c r="X166" s="692">
        <v>0</v>
      </c>
      <c r="Y166" s="692">
        <v>4050000</v>
      </c>
      <c r="Z166" s="692">
        <v>4050000</v>
      </c>
      <c r="AA166" s="665" t="s">
        <v>935</v>
      </c>
      <c r="AB166" s="665" t="s">
        <v>1325</v>
      </c>
      <c r="AC166" s="665" t="s">
        <v>923</v>
      </c>
      <c r="AD166" s="691">
        <v>43122</v>
      </c>
      <c r="AE166" s="691">
        <v>43211</v>
      </c>
      <c r="AF166" s="665" t="s">
        <v>828</v>
      </c>
      <c r="AG166" s="665" t="s">
        <v>829</v>
      </c>
    </row>
    <row r="167" spans="1:33" ht="90.6" customHeight="1" x14ac:dyDescent="0.25">
      <c r="A167" s="658">
        <f t="shared" si="24"/>
        <v>121</v>
      </c>
      <c r="B167" s="759" t="s">
        <v>265</v>
      </c>
      <c r="C167" s="659">
        <v>80101706</v>
      </c>
      <c r="D167" s="660" t="s">
        <v>501</v>
      </c>
      <c r="E167" s="759" t="s">
        <v>48</v>
      </c>
      <c r="F167" s="759">
        <v>1</v>
      </c>
      <c r="G167" s="661" t="s">
        <v>73</v>
      </c>
      <c r="H167" s="662">
        <v>5</v>
      </c>
      <c r="I167" s="759" t="s">
        <v>61</v>
      </c>
      <c r="J167" s="759" t="s">
        <v>66</v>
      </c>
      <c r="K167" s="759" t="s">
        <v>601</v>
      </c>
      <c r="L167" s="663">
        <v>10000000</v>
      </c>
      <c r="M167" s="664">
        <f t="shared" si="26"/>
        <v>10000000</v>
      </c>
      <c r="N167" s="759" t="s">
        <v>51</v>
      </c>
      <c r="O167" s="759" t="s">
        <v>36</v>
      </c>
      <c r="P167" s="759" t="s">
        <v>502</v>
      </c>
      <c r="Q167" s="80"/>
      <c r="R167" s="665" t="s">
        <v>936</v>
      </c>
      <c r="S167" s="665" t="s">
        <v>298</v>
      </c>
      <c r="T167" s="691">
        <v>43115</v>
      </c>
      <c r="U167" s="665" t="s">
        <v>937</v>
      </c>
      <c r="V167" s="665" t="s">
        <v>672</v>
      </c>
      <c r="W167" s="692">
        <v>10000000</v>
      </c>
      <c r="X167" s="692">
        <v>0</v>
      </c>
      <c r="Y167" s="692">
        <v>10000000</v>
      </c>
      <c r="Z167" s="692">
        <v>10000000</v>
      </c>
      <c r="AA167" s="665" t="s">
        <v>938</v>
      </c>
      <c r="AB167" s="665" t="s">
        <v>1326</v>
      </c>
      <c r="AC167" s="665" t="s">
        <v>693</v>
      </c>
      <c r="AD167" s="691">
        <v>43116</v>
      </c>
      <c r="AE167" s="691">
        <v>43266</v>
      </c>
      <c r="AF167" s="665" t="s">
        <v>939</v>
      </c>
      <c r="AG167" s="665" t="s">
        <v>682</v>
      </c>
    </row>
    <row r="168" spans="1:33" ht="98.45" customHeight="1" x14ac:dyDescent="0.25">
      <c r="A168" s="658">
        <f t="shared" si="24"/>
        <v>122</v>
      </c>
      <c r="B168" s="759" t="s">
        <v>503</v>
      </c>
      <c r="C168" s="659">
        <v>80101706</v>
      </c>
      <c r="D168" s="660" t="s">
        <v>504</v>
      </c>
      <c r="E168" s="759" t="s">
        <v>48</v>
      </c>
      <c r="F168" s="759">
        <v>1</v>
      </c>
      <c r="G168" s="661" t="s">
        <v>73</v>
      </c>
      <c r="H168" s="662">
        <v>8</v>
      </c>
      <c r="I168" s="759" t="s">
        <v>61</v>
      </c>
      <c r="J168" s="759" t="s">
        <v>66</v>
      </c>
      <c r="K168" s="759" t="s">
        <v>601</v>
      </c>
      <c r="L168" s="663">
        <v>31160000</v>
      </c>
      <c r="M168" s="664">
        <f t="shared" si="26"/>
        <v>31160000</v>
      </c>
      <c r="N168" s="759" t="s">
        <v>51</v>
      </c>
      <c r="O168" s="759" t="s">
        <v>36</v>
      </c>
      <c r="P168" s="759" t="s">
        <v>502</v>
      </c>
      <c r="Q168" s="80"/>
      <c r="R168" s="665" t="s">
        <v>940</v>
      </c>
      <c r="S168" s="665" t="s">
        <v>941</v>
      </c>
      <c r="T168" s="691">
        <v>43124</v>
      </c>
      <c r="U168" s="665" t="s">
        <v>942</v>
      </c>
      <c r="V168" s="665" t="s">
        <v>672</v>
      </c>
      <c r="W168" s="692">
        <v>31160000</v>
      </c>
      <c r="X168" s="692">
        <v>0</v>
      </c>
      <c r="Y168" s="692">
        <v>31160000</v>
      </c>
      <c r="Z168" s="692">
        <v>31160000</v>
      </c>
      <c r="AA168" s="665" t="s">
        <v>943</v>
      </c>
      <c r="AB168" s="665" t="s">
        <v>1327</v>
      </c>
      <c r="AC168" s="665" t="s">
        <v>681</v>
      </c>
      <c r="AD168" s="691">
        <v>43124</v>
      </c>
      <c r="AE168" s="691">
        <v>43366</v>
      </c>
      <c r="AF168" s="665" t="s">
        <v>1253</v>
      </c>
      <c r="AG168" s="665" t="s">
        <v>682</v>
      </c>
    </row>
    <row r="169" spans="1:33" ht="152.1" customHeight="1" x14ac:dyDescent="0.25">
      <c r="A169" s="658">
        <f t="shared" si="24"/>
        <v>123</v>
      </c>
      <c r="B169" s="759" t="s">
        <v>266</v>
      </c>
      <c r="C169" s="659">
        <v>80101706</v>
      </c>
      <c r="D169" s="660" t="s">
        <v>526</v>
      </c>
      <c r="E169" s="759" t="s">
        <v>48</v>
      </c>
      <c r="F169" s="759">
        <v>1</v>
      </c>
      <c r="G169" s="661" t="s">
        <v>73</v>
      </c>
      <c r="H169" s="662" t="s">
        <v>652</v>
      </c>
      <c r="I169" s="759" t="s">
        <v>61</v>
      </c>
      <c r="J169" s="759" t="s">
        <v>66</v>
      </c>
      <c r="K169" s="759" t="s">
        <v>601</v>
      </c>
      <c r="L169" s="663">
        <v>29765000</v>
      </c>
      <c r="M169" s="664">
        <f t="shared" si="26"/>
        <v>29765000</v>
      </c>
      <c r="N169" s="759" t="s">
        <v>51</v>
      </c>
      <c r="O169" s="759" t="s">
        <v>36</v>
      </c>
      <c r="P169" s="759" t="s">
        <v>527</v>
      </c>
      <c r="Q169" s="80"/>
      <c r="R169" s="665" t="s">
        <v>944</v>
      </c>
      <c r="S169" s="665" t="s">
        <v>945</v>
      </c>
      <c r="T169" s="691">
        <v>43126</v>
      </c>
      <c r="U169" s="665" t="s">
        <v>946</v>
      </c>
      <c r="V169" s="665" t="s">
        <v>672</v>
      </c>
      <c r="W169" s="692">
        <v>29765000</v>
      </c>
      <c r="X169" s="692">
        <v>0</v>
      </c>
      <c r="Y169" s="692">
        <v>29765000</v>
      </c>
      <c r="Z169" s="692">
        <v>29765000</v>
      </c>
      <c r="AA169" s="665" t="s">
        <v>947</v>
      </c>
      <c r="AB169" s="665" t="s">
        <v>1266</v>
      </c>
      <c r="AC169" s="665" t="s">
        <v>693</v>
      </c>
      <c r="AD169" s="691">
        <v>43126</v>
      </c>
      <c r="AE169" s="691">
        <v>43276</v>
      </c>
      <c r="AF169" s="665" t="s">
        <v>1257</v>
      </c>
      <c r="AG169" s="665" t="s">
        <v>829</v>
      </c>
    </row>
    <row r="170" spans="1:33" ht="114" customHeight="1" x14ac:dyDescent="0.25">
      <c r="A170" s="658">
        <f t="shared" si="24"/>
        <v>124</v>
      </c>
      <c r="B170" s="759" t="s">
        <v>266</v>
      </c>
      <c r="C170" s="659">
        <v>80101706</v>
      </c>
      <c r="D170" s="660" t="s">
        <v>526</v>
      </c>
      <c r="E170" s="759" t="s">
        <v>48</v>
      </c>
      <c r="F170" s="759">
        <v>1</v>
      </c>
      <c r="G170" s="661" t="s">
        <v>73</v>
      </c>
      <c r="H170" s="662">
        <v>2</v>
      </c>
      <c r="I170" s="759" t="s">
        <v>61</v>
      </c>
      <c r="J170" s="759" t="s">
        <v>66</v>
      </c>
      <c r="K170" s="759" t="s">
        <v>601</v>
      </c>
      <c r="L170" s="663">
        <v>15000000</v>
      </c>
      <c r="M170" s="664">
        <f t="shared" si="26"/>
        <v>15000000</v>
      </c>
      <c r="N170" s="759" t="s">
        <v>51</v>
      </c>
      <c r="O170" s="759" t="s">
        <v>36</v>
      </c>
      <c r="P170" s="759" t="s">
        <v>527</v>
      </c>
      <c r="Q170" s="80"/>
      <c r="R170" s="665" t="s">
        <v>948</v>
      </c>
      <c r="S170" s="665" t="s">
        <v>949</v>
      </c>
      <c r="T170" s="691">
        <v>43118</v>
      </c>
      <c r="U170" s="665" t="s">
        <v>950</v>
      </c>
      <c r="V170" s="665" t="s">
        <v>672</v>
      </c>
      <c r="W170" s="692">
        <v>15000000</v>
      </c>
      <c r="X170" s="692">
        <v>0</v>
      </c>
      <c r="Y170" s="692">
        <v>15000000</v>
      </c>
      <c r="Z170" s="692">
        <v>15000000</v>
      </c>
      <c r="AA170" s="665" t="s">
        <v>951</v>
      </c>
      <c r="AB170" s="665" t="s">
        <v>1328</v>
      </c>
      <c r="AC170" s="665" t="s">
        <v>952</v>
      </c>
      <c r="AD170" s="691">
        <v>43119</v>
      </c>
      <c r="AE170" s="691">
        <v>43179</v>
      </c>
      <c r="AF170" s="665" t="s">
        <v>828</v>
      </c>
      <c r="AG170" s="665" t="s">
        <v>829</v>
      </c>
    </row>
    <row r="171" spans="1:33" ht="189.95" customHeight="1" x14ac:dyDescent="0.25">
      <c r="A171" s="658">
        <f t="shared" si="24"/>
        <v>125</v>
      </c>
      <c r="B171" s="759" t="s">
        <v>266</v>
      </c>
      <c r="C171" s="659">
        <v>80101706</v>
      </c>
      <c r="D171" s="660" t="s">
        <v>526</v>
      </c>
      <c r="E171" s="759" t="s">
        <v>48</v>
      </c>
      <c r="F171" s="759">
        <v>1</v>
      </c>
      <c r="G171" s="661" t="s">
        <v>73</v>
      </c>
      <c r="H171" s="662">
        <v>2</v>
      </c>
      <c r="I171" s="759" t="s">
        <v>61</v>
      </c>
      <c r="J171" s="759" t="s">
        <v>66</v>
      </c>
      <c r="K171" s="759" t="s">
        <v>601</v>
      </c>
      <c r="L171" s="663">
        <v>15000000</v>
      </c>
      <c r="M171" s="664">
        <f t="shared" si="26"/>
        <v>15000000</v>
      </c>
      <c r="N171" s="759" t="s">
        <v>51</v>
      </c>
      <c r="O171" s="759" t="s">
        <v>36</v>
      </c>
      <c r="P171" s="759" t="s">
        <v>527</v>
      </c>
      <c r="Q171" s="80"/>
      <c r="R171" s="665" t="s">
        <v>953</v>
      </c>
      <c r="S171" s="665" t="s">
        <v>954</v>
      </c>
      <c r="T171" s="691">
        <v>43123</v>
      </c>
      <c r="U171" s="665" t="s">
        <v>955</v>
      </c>
      <c r="V171" s="665" t="s">
        <v>672</v>
      </c>
      <c r="W171" s="692">
        <v>15000000</v>
      </c>
      <c r="X171" s="692">
        <v>0</v>
      </c>
      <c r="Y171" s="692">
        <v>15000000</v>
      </c>
      <c r="Z171" s="692">
        <v>15000000</v>
      </c>
      <c r="AA171" s="665" t="s">
        <v>706</v>
      </c>
      <c r="AB171" s="665" t="s">
        <v>1329</v>
      </c>
      <c r="AC171" s="665" t="s">
        <v>952</v>
      </c>
      <c r="AD171" s="691">
        <v>43125</v>
      </c>
      <c r="AE171" s="691">
        <v>43183</v>
      </c>
      <c r="AF171" s="665" t="s">
        <v>828</v>
      </c>
      <c r="AG171" s="665" t="s">
        <v>829</v>
      </c>
    </row>
    <row r="172" spans="1:33" ht="132.94999999999999" customHeight="1" x14ac:dyDescent="0.25">
      <c r="A172" s="658">
        <f t="shared" si="24"/>
        <v>126</v>
      </c>
      <c r="B172" s="759" t="s">
        <v>266</v>
      </c>
      <c r="C172" s="659">
        <v>80101706</v>
      </c>
      <c r="D172" s="660" t="s">
        <v>637</v>
      </c>
      <c r="E172" s="759" t="s">
        <v>48</v>
      </c>
      <c r="F172" s="759">
        <v>1</v>
      </c>
      <c r="G172" s="661" t="s">
        <v>73</v>
      </c>
      <c r="H172" s="662">
        <v>8</v>
      </c>
      <c r="I172" s="759" t="s">
        <v>61</v>
      </c>
      <c r="J172" s="759" t="s">
        <v>66</v>
      </c>
      <c r="K172" s="759" t="s">
        <v>601</v>
      </c>
      <c r="L172" s="663">
        <v>15272000</v>
      </c>
      <c r="M172" s="664">
        <f t="shared" si="26"/>
        <v>15272000</v>
      </c>
      <c r="N172" s="759" t="s">
        <v>51</v>
      </c>
      <c r="O172" s="759" t="s">
        <v>36</v>
      </c>
      <c r="P172" s="759" t="s">
        <v>527</v>
      </c>
      <c r="Q172" s="80"/>
      <c r="R172" s="665" t="s">
        <v>956</v>
      </c>
      <c r="S172" s="665" t="s">
        <v>957</v>
      </c>
      <c r="T172" s="691">
        <v>43118</v>
      </c>
      <c r="U172" s="665" t="s">
        <v>958</v>
      </c>
      <c r="V172" s="665" t="s">
        <v>679</v>
      </c>
      <c r="W172" s="692">
        <v>15272000</v>
      </c>
      <c r="X172" s="692">
        <v>0</v>
      </c>
      <c r="Y172" s="692">
        <v>15272000</v>
      </c>
      <c r="Z172" s="692">
        <v>15272000</v>
      </c>
      <c r="AA172" s="665" t="s">
        <v>959</v>
      </c>
      <c r="AB172" s="665" t="s">
        <v>1330</v>
      </c>
      <c r="AC172" s="665" t="s">
        <v>681</v>
      </c>
      <c r="AD172" s="691">
        <v>43119</v>
      </c>
      <c r="AE172" s="691">
        <v>43361</v>
      </c>
      <c r="AF172" s="665" t="s">
        <v>828</v>
      </c>
      <c r="AG172" s="665" t="s">
        <v>829</v>
      </c>
    </row>
    <row r="173" spans="1:33" ht="152.1" customHeight="1" x14ac:dyDescent="0.25">
      <c r="A173" s="658">
        <f t="shared" si="24"/>
        <v>127</v>
      </c>
      <c r="B173" s="759" t="s">
        <v>529</v>
      </c>
      <c r="C173" s="659">
        <v>80101706</v>
      </c>
      <c r="D173" s="660" t="s">
        <v>530</v>
      </c>
      <c r="E173" s="759" t="s">
        <v>48</v>
      </c>
      <c r="F173" s="759">
        <v>1</v>
      </c>
      <c r="G173" s="661" t="s">
        <v>73</v>
      </c>
      <c r="H173" s="662" t="s">
        <v>232</v>
      </c>
      <c r="I173" s="759" t="s">
        <v>61</v>
      </c>
      <c r="J173" s="759" t="s">
        <v>66</v>
      </c>
      <c r="K173" s="759" t="s">
        <v>601</v>
      </c>
      <c r="L173" s="663">
        <v>45000000</v>
      </c>
      <c r="M173" s="664">
        <v>45000000</v>
      </c>
      <c r="N173" s="759" t="s">
        <v>51</v>
      </c>
      <c r="O173" s="759" t="s">
        <v>36</v>
      </c>
      <c r="P173" s="759" t="s">
        <v>531</v>
      </c>
      <c r="Q173" s="80"/>
      <c r="R173" s="665" t="s">
        <v>960</v>
      </c>
      <c r="S173" s="665" t="s">
        <v>961</v>
      </c>
      <c r="T173" s="691">
        <v>43123</v>
      </c>
      <c r="U173" s="665" t="s">
        <v>962</v>
      </c>
      <c r="V173" s="665" t="s">
        <v>672</v>
      </c>
      <c r="W173" s="692">
        <v>45000000</v>
      </c>
      <c r="X173" s="692">
        <v>0</v>
      </c>
      <c r="Y173" s="692">
        <v>45000000</v>
      </c>
      <c r="Z173" s="692">
        <v>45000000</v>
      </c>
      <c r="AA173" s="665" t="s">
        <v>963</v>
      </c>
      <c r="AB173" s="665" t="s">
        <v>1331</v>
      </c>
      <c r="AC173" s="665" t="s">
        <v>923</v>
      </c>
      <c r="AD173" s="691">
        <v>43125</v>
      </c>
      <c r="AE173" s="691">
        <v>43214</v>
      </c>
      <c r="AF173" s="665" t="s">
        <v>964</v>
      </c>
      <c r="AG173" s="665" t="s">
        <v>843</v>
      </c>
    </row>
    <row r="174" spans="1:33" ht="266.10000000000002" customHeight="1" x14ac:dyDescent="0.25">
      <c r="A174" s="658">
        <f t="shared" si="24"/>
        <v>128</v>
      </c>
      <c r="B174" s="759" t="s">
        <v>529</v>
      </c>
      <c r="C174" s="659">
        <v>80101706</v>
      </c>
      <c r="D174" s="660" t="s">
        <v>530</v>
      </c>
      <c r="E174" s="759" t="s">
        <v>48</v>
      </c>
      <c r="F174" s="759">
        <v>1</v>
      </c>
      <c r="G174" s="661" t="s">
        <v>73</v>
      </c>
      <c r="H174" s="662">
        <v>8</v>
      </c>
      <c r="I174" s="759" t="s">
        <v>61</v>
      </c>
      <c r="J174" s="759" t="s">
        <v>66</v>
      </c>
      <c r="K174" s="759" t="s">
        <v>601</v>
      </c>
      <c r="L174" s="663">
        <v>58800000</v>
      </c>
      <c r="M174" s="664">
        <f t="shared" ref="M174:M189" si="27">+L174</f>
        <v>58800000</v>
      </c>
      <c r="N174" s="759" t="s">
        <v>51</v>
      </c>
      <c r="O174" s="759" t="s">
        <v>36</v>
      </c>
      <c r="P174" s="759" t="s">
        <v>531</v>
      </c>
      <c r="Q174" s="80"/>
      <c r="R174" s="665" t="s">
        <v>965</v>
      </c>
      <c r="S174" s="665" t="s">
        <v>966</v>
      </c>
      <c r="T174" s="691">
        <v>43112</v>
      </c>
      <c r="U174" s="665" t="s">
        <v>967</v>
      </c>
      <c r="V174" s="665" t="s">
        <v>672</v>
      </c>
      <c r="W174" s="692">
        <v>58800000</v>
      </c>
      <c r="X174" s="692">
        <v>0</v>
      </c>
      <c r="Y174" s="692">
        <v>58800000</v>
      </c>
      <c r="Z174" s="692">
        <v>58800000</v>
      </c>
      <c r="AA174" s="665" t="s">
        <v>968</v>
      </c>
      <c r="AB174" s="665" t="s">
        <v>1332</v>
      </c>
      <c r="AC174" s="665" t="s">
        <v>969</v>
      </c>
      <c r="AD174" s="691">
        <v>43116</v>
      </c>
      <c r="AE174" s="691">
        <v>43358</v>
      </c>
      <c r="AF174" s="665" t="s">
        <v>848</v>
      </c>
      <c r="AG174" s="665" t="s">
        <v>843</v>
      </c>
    </row>
    <row r="175" spans="1:33" ht="132.94999999999999" customHeight="1" x14ac:dyDescent="0.25">
      <c r="A175" s="658">
        <f t="shared" si="24"/>
        <v>129</v>
      </c>
      <c r="B175" s="759" t="s">
        <v>529</v>
      </c>
      <c r="C175" s="659">
        <v>80101706</v>
      </c>
      <c r="D175" s="660" t="s">
        <v>530</v>
      </c>
      <c r="E175" s="759" t="s">
        <v>48</v>
      </c>
      <c r="F175" s="759">
        <v>1</v>
      </c>
      <c r="G175" s="661" t="s">
        <v>73</v>
      </c>
      <c r="H175" s="662">
        <v>8</v>
      </c>
      <c r="I175" s="759" t="s">
        <v>61</v>
      </c>
      <c r="J175" s="759" t="s">
        <v>66</v>
      </c>
      <c r="K175" s="759" t="s">
        <v>601</v>
      </c>
      <c r="L175" s="663">
        <v>48000000</v>
      </c>
      <c r="M175" s="664">
        <f t="shared" si="27"/>
        <v>48000000</v>
      </c>
      <c r="N175" s="759" t="s">
        <v>51</v>
      </c>
      <c r="O175" s="759" t="s">
        <v>36</v>
      </c>
      <c r="P175" s="759" t="s">
        <v>531</v>
      </c>
      <c r="Q175" s="80"/>
      <c r="R175" s="665" t="s">
        <v>970</v>
      </c>
      <c r="S175" s="665" t="s">
        <v>971</v>
      </c>
      <c r="T175" s="691">
        <v>43115</v>
      </c>
      <c r="U175" s="665" t="s">
        <v>972</v>
      </c>
      <c r="V175" s="665" t="s">
        <v>672</v>
      </c>
      <c r="W175" s="746">
        <v>28200000</v>
      </c>
      <c r="X175" s="746"/>
      <c r="Y175" s="746">
        <v>28200000</v>
      </c>
      <c r="Z175" s="746">
        <v>28200000</v>
      </c>
      <c r="AA175" s="665" t="s">
        <v>973</v>
      </c>
      <c r="AB175" s="665" t="s">
        <v>1333</v>
      </c>
      <c r="AC175" s="665" t="s">
        <v>974</v>
      </c>
      <c r="AD175" s="691">
        <v>43118</v>
      </c>
      <c r="AE175" s="691">
        <v>43360</v>
      </c>
      <c r="AF175" s="665" t="s">
        <v>1209</v>
      </c>
      <c r="AG175" s="665" t="s">
        <v>843</v>
      </c>
    </row>
    <row r="176" spans="1:33" ht="90.6" customHeight="1" x14ac:dyDescent="0.25">
      <c r="A176" s="658">
        <f t="shared" si="24"/>
        <v>130</v>
      </c>
      <c r="B176" s="759" t="s">
        <v>490</v>
      </c>
      <c r="C176" s="659">
        <v>80101706</v>
      </c>
      <c r="D176" s="660" t="s">
        <v>537</v>
      </c>
      <c r="E176" s="759" t="s">
        <v>48</v>
      </c>
      <c r="F176" s="759">
        <v>1</v>
      </c>
      <c r="G176" s="661" t="s">
        <v>73</v>
      </c>
      <c r="H176" s="662">
        <v>5</v>
      </c>
      <c r="I176" s="759" t="s">
        <v>61</v>
      </c>
      <c r="J176" s="759" t="s">
        <v>66</v>
      </c>
      <c r="K176" s="759" t="s">
        <v>601</v>
      </c>
      <c r="L176" s="663">
        <v>32550000</v>
      </c>
      <c r="M176" s="664">
        <f t="shared" si="27"/>
        <v>32550000</v>
      </c>
      <c r="N176" s="759" t="s">
        <v>51</v>
      </c>
      <c r="O176" s="759" t="s">
        <v>36</v>
      </c>
      <c r="P176" s="759" t="s">
        <v>308</v>
      </c>
      <c r="Q176" s="80"/>
      <c r="R176" s="665" t="s">
        <v>975</v>
      </c>
      <c r="S176" s="665" t="s">
        <v>976</v>
      </c>
      <c r="T176" s="691">
        <v>43118</v>
      </c>
      <c r="U176" s="665" t="s">
        <v>977</v>
      </c>
      <c r="V176" s="665" t="s">
        <v>672</v>
      </c>
      <c r="W176" s="692">
        <v>32550000</v>
      </c>
      <c r="X176" s="692">
        <v>6510000</v>
      </c>
      <c r="Y176" s="692">
        <f>W176+X176</f>
        <v>39060000</v>
      </c>
      <c r="Z176" s="692">
        <f>Y176</f>
        <v>39060000</v>
      </c>
      <c r="AA176" s="665" t="s">
        <v>978</v>
      </c>
      <c r="AB176" s="665" t="s">
        <v>1334</v>
      </c>
      <c r="AC176" s="665" t="s">
        <v>847</v>
      </c>
      <c r="AD176" s="691">
        <v>43119</v>
      </c>
      <c r="AE176" s="691">
        <v>43269</v>
      </c>
      <c r="AF176" s="665" t="s">
        <v>906</v>
      </c>
      <c r="AG176" s="665" t="s">
        <v>890</v>
      </c>
    </row>
    <row r="177" spans="1:33" ht="84.6" customHeight="1" x14ac:dyDescent="0.25">
      <c r="A177" s="658">
        <f t="shared" si="24"/>
        <v>131</v>
      </c>
      <c r="B177" s="759" t="s">
        <v>490</v>
      </c>
      <c r="C177" s="659">
        <v>80101706</v>
      </c>
      <c r="D177" s="660" t="s">
        <v>537</v>
      </c>
      <c r="E177" s="759" t="s">
        <v>48</v>
      </c>
      <c r="F177" s="759">
        <v>1</v>
      </c>
      <c r="G177" s="661" t="s">
        <v>73</v>
      </c>
      <c r="H177" s="662">
        <v>8</v>
      </c>
      <c r="I177" s="759" t="s">
        <v>61</v>
      </c>
      <c r="J177" s="759" t="s">
        <v>66</v>
      </c>
      <c r="K177" s="759" t="s">
        <v>601</v>
      </c>
      <c r="L177" s="663">
        <v>42400000</v>
      </c>
      <c r="M177" s="664">
        <f t="shared" si="27"/>
        <v>42400000</v>
      </c>
      <c r="N177" s="759" t="s">
        <v>51</v>
      </c>
      <c r="O177" s="759" t="s">
        <v>36</v>
      </c>
      <c r="P177" s="759" t="s">
        <v>308</v>
      </c>
      <c r="Q177" s="80"/>
      <c r="R177" s="665" t="s">
        <v>979</v>
      </c>
      <c r="S177" s="665" t="s">
        <v>980</v>
      </c>
      <c r="T177" s="691">
        <v>43110</v>
      </c>
      <c r="U177" s="665" t="s">
        <v>981</v>
      </c>
      <c r="V177" s="665" t="s">
        <v>672</v>
      </c>
      <c r="W177" s="692">
        <v>42400000</v>
      </c>
      <c r="X177" s="692">
        <v>0</v>
      </c>
      <c r="Y177" s="692">
        <v>42400000</v>
      </c>
      <c r="Z177" s="692">
        <v>42400000</v>
      </c>
      <c r="AA177" s="665" t="s">
        <v>982</v>
      </c>
      <c r="AB177" s="665" t="s">
        <v>1335</v>
      </c>
      <c r="AC177" s="665" t="s">
        <v>969</v>
      </c>
      <c r="AD177" s="691">
        <v>43116</v>
      </c>
      <c r="AE177" s="691">
        <v>43358</v>
      </c>
      <c r="AF177" s="665" t="s">
        <v>983</v>
      </c>
      <c r="AG177" s="665" t="s">
        <v>890</v>
      </c>
    </row>
    <row r="178" spans="1:33" ht="88.15" customHeight="1" x14ac:dyDescent="0.25">
      <c r="A178" s="658">
        <f t="shared" si="24"/>
        <v>132</v>
      </c>
      <c r="B178" s="759" t="s">
        <v>490</v>
      </c>
      <c r="C178" s="659">
        <v>80101706</v>
      </c>
      <c r="D178" s="660" t="s">
        <v>537</v>
      </c>
      <c r="E178" s="759" t="s">
        <v>48</v>
      </c>
      <c r="F178" s="759">
        <v>1</v>
      </c>
      <c r="G178" s="661" t="s">
        <v>73</v>
      </c>
      <c r="H178" s="662">
        <v>8</v>
      </c>
      <c r="I178" s="759" t="s">
        <v>61</v>
      </c>
      <c r="J178" s="759" t="s">
        <v>66</v>
      </c>
      <c r="K178" s="759" t="s">
        <v>601</v>
      </c>
      <c r="L178" s="663">
        <v>52080000</v>
      </c>
      <c r="M178" s="664">
        <f t="shared" si="27"/>
        <v>52080000</v>
      </c>
      <c r="N178" s="759" t="s">
        <v>51</v>
      </c>
      <c r="O178" s="759" t="s">
        <v>36</v>
      </c>
      <c r="P178" s="759" t="s">
        <v>308</v>
      </c>
      <c r="Q178" s="80"/>
      <c r="R178" s="665" t="s">
        <v>984</v>
      </c>
      <c r="S178" s="665" t="s">
        <v>985</v>
      </c>
      <c r="T178" s="691">
        <v>43110</v>
      </c>
      <c r="U178" s="665" t="s">
        <v>986</v>
      </c>
      <c r="V178" s="665" t="s">
        <v>672</v>
      </c>
      <c r="W178" s="692">
        <v>52080000</v>
      </c>
      <c r="X178" s="692">
        <v>0</v>
      </c>
      <c r="Y178" s="692">
        <v>52080000</v>
      </c>
      <c r="Z178" s="692">
        <v>52080000</v>
      </c>
      <c r="AA178" s="665" t="s">
        <v>987</v>
      </c>
      <c r="AB178" s="665" t="s">
        <v>1336</v>
      </c>
      <c r="AC178" s="665" t="s">
        <v>693</v>
      </c>
      <c r="AD178" s="691">
        <v>43116</v>
      </c>
      <c r="AE178" s="691">
        <v>43266</v>
      </c>
      <c r="AF178" s="665" t="s">
        <v>983</v>
      </c>
      <c r="AG178" s="665" t="s">
        <v>890</v>
      </c>
    </row>
    <row r="179" spans="1:33" ht="209.1" customHeight="1" x14ac:dyDescent="0.25">
      <c r="A179" s="658">
        <f t="shared" si="24"/>
        <v>133</v>
      </c>
      <c r="B179" s="759" t="s">
        <v>490</v>
      </c>
      <c r="C179" s="659">
        <v>80101706</v>
      </c>
      <c r="D179" s="660" t="s">
        <v>537</v>
      </c>
      <c r="E179" s="759" t="s">
        <v>48</v>
      </c>
      <c r="F179" s="759">
        <v>1</v>
      </c>
      <c r="G179" s="661" t="s">
        <v>73</v>
      </c>
      <c r="H179" s="662">
        <v>8</v>
      </c>
      <c r="I179" s="759" t="s">
        <v>61</v>
      </c>
      <c r="J179" s="759" t="s">
        <v>66</v>
      </c>
      <c r="K179" s="759" t="s">
        <v>601</v>
      </c>
      <c r="L179" s="663">
        <v>52080000</v>
      </c>
      <c r="M179" s="664">
        <f t="shared" si="27"/>
        <v>52080000</v>
      </c>
      <c r="N179" s="759" t="s">
        <v>51</v>
      </c>
      <c r="O179" s="759" t="s">
        <v>36</v>
      </c>
      <c r="P179" s="759" t="s">
        <v>308</v>
      </c>
      <c r="Q179" s="80"/>
      <c r="R179" s="665" t="s">
        <v>988</v>
      </c>
      <c r="S179" s="665" t="s">
        <v>989</v>
      </c>
      <c r="T179" s="691">
        <v>43110</v>
      </c>
      <c r="U179" s="665" t="s">
        <v>990</v>
      </c>
      <c r="V179" s="665" t="s">
        <v>672</v>
      </c>
      <c r="W179" s="692">
        <v>52080000</v>
      </c>
      <c r="X179" s="692">
        <v>0</v>
      </c>
      <c r="Y179" s="692">
        <v>52080000</v>
      </c>
      <c r="Z179" s="692">
        <v>52080000</v>
      </c>
      <c r="AA179" s="665" t="s">
        <v>987</v>
      </c>
      <c r="AB179" s="665" t="s">
        <v>1337</v>
      </c>
      <c r="AC179" s="665" t="s">
        <v>969</v>
      </c>
      <c r="AD179" s="691">
        <v>43116</v>
      </c>
      <c r="AE179" s="691">
        <v>43358</v>
      </c>
      <c r="AF179" s="665" t="s">
        <v>983</v>
      </c>
      <c r="AG179" s="665" t="s">
        <v>890</v>
      </c>
    </row>
    <row r="180" spans="1:33" ht="132.94999999999999" customHeight="1" x14ac:dyDescent="0.25">
      <c r="A180" s="658">
        <f t="shared" si="24"/>
        <v>134</v>
      </c>
      <c r="B180" s="759" t="s">
        <v>538</v>
      </c>
      <c r="C180" s="659">
        <v>80101706</v>
      </c>
      <c r="D180" s="660" t="s">
        <v>539</v>
      </c>
      <c r="E180" s="759" t="s">
        <v>48</v>
      </c>
      <c r="F180" s="759">
        <v>1</v>
      </c>
      <c r="G180" s="661" t="s">
        <v>73</v>
      </c>
      <c r="H180" s="662">
        <v>8</v>
      </c>
      <c r="I180" s="759" t="s">
        <v>61</v>
      </c>
      <c r="J180" s="759" t="s">
        <v>66</v>
      </c>
      <c r="K180" s="759" t="s">
        <v>601</v>
      </c>
      <c r="L180" s="663">
        <v>48000000</v>
      </c>
      <c r="M180" s="664">
        <f t="shared" si="27"/>
        <v>48000000</v>
      </c>
      <c r="N180" s="759" t="s">
        <v>51</v>
      </c>
      <c r="O180" s="759" t="s">
        <v>36</v>
      </c>
      <c r="P180" s="759" t="s">
        <v>540</v>
      </c>
      <c r="Q180" s="80"/>
      <c r="R180" s="665" t="s">
        <v>991</v>
      </c>
      <c r="S180" s="665" t="s">
        <v>992</v>
      </c>
      <c r="T180" s="691">
        <v>43122</v>
      </c>
      <c r="U180" s="665" t="s">
        <v>993</v>
      </c>
      <c r="V180" s="665" t="s">
        <v>672</v>
      </c>
      <c r="W180" s="692">
        <v>48000000</v>
      </c>
      <c r="X180" s="692">
        <v>0</v>
      </c>
      <c r="Y180" s="692">
        <v>48000000</v>
      </c>
      <c r="Z180" s="692">
        <v>48000000</v>
      </c>
      <c r="AA180" s="665" t="s">
        <v>994</v>
      </c>
      <c r="AB180" s="665" t="s">
        <v>1338</v>
      </c>
      <c r="AC180" s="665" t="s">
        <v>681</v>
      </c>
      <c r="AD180" s="691">
        <v>43126</v>
      </c>
      <c r="AE180" s="691">
        <v>43368</v>
      </c>
      <c r="AF180" s="665" t="s">
        <v>877</v>
      </c>
      <c r="AG180" s="665" t="s">
        <v>538</v>
      </c>
    </row>
    <row r="181" spans="1:33" ht="114" customHeight="1" x14ac:dyDescent="0.25">
      <c r="A181" s="658">
        <f t="shared" si="24"/>
        <v>135</v>
      </c>
      <c r="B181" s="759" t="s">
        <v>538</v>
      </c>
      <c r="C181" s="659">
        <v>80101706</v>
      </c>
      <c r="D181" s="660" t="s">
        <v>539</v>
      </c>
      <c r="E181" s="759" t="s">
        <v>48</v>
      </c>
      <c r="F181" s="759">
        <v>1</v>
      </c>
      <c r="G181" s="661" t="s">
        <v>73</v>
      </c>
      <c r="H181" s="662">
        <v>8</v>
      </c>
      <c r="I181" s="759" t="s">
        <v>61</v>
      </c>
      <c r="J181" s="759" t="s">
        <v>66</v>
      </c>
      <c r="K181" s="759" t="s">
        <v>601</v>
      </c>
      <c r="L181" s="663">
        <v>37600000</v>
      </c>
      <c r="M181" s="664">
        <f t="shared" si="27"/>
        <v>37600000</v>
      </c>
      <c r="N181" s="759" t="s">
        <v>51</v>
      </c>
      <c r="O181" s="759" t="s">
        <v>36</v>
      </c>
      <c r="P181" s="759" t="s">
        <v>540</v>
      </c>
      <c r="Q181" s="80"/>
      <c r="R181" s="665" t="s">
        <v>995</v>
      </c>
      <c r="S181" s="665" t="s">
        <v>996</v>
      </c>
      <c r="T181" s="691">
        <v>43117</v>
      </c>
      <c r="U181" s="665" t="s">
        <v>997</v>
      </c>
      <c r="V181" s="665" t="s">
        <v>672</v>
      </c>
      <c r="W181" s="692">
        <v>37600000</v>
      </c>
      <c r="X181" s="692">
        <v>0</v>
      </c>
      <c r="Y181" s="692">
        <v>37600000</v>
      </c>
      <c r="Z181" s="692">
        <v>37600000</v>
      </c>
      <c r="AA181" s="665" t="s">
        <v>998</v>
      </c>
      <c r="AB181" s="665" t="s">
        <v>1339</v>
      </c>
      <c r="AC181" s="665" t="s">
        <v>681</v>
      </c>
      <c r="AD181" s="691">
        <v>43119</v>
      </c>
      <c r="AE181" s="691">
        <v>43361</v>
      </c>
      <c r="AF181" s="665" t="s">
        <v>877</v>
      </c>
      <c r="AG181" s="665" t="s">
        <v>538</v>
      </c>
    </row>
    <row r="182" spans="1:33" ht="114" customHeight="1" x14ac:dyDescent="0.25">
      <c r="A182" s="658">
        <f t="shared" si="24"/>
        <v>136</v>
      </c>
      <c r="B182" s="759" t="s">
        <v>602</v>
      </c>
      <c r="C182" s="659">
        <v>80101706</v>
      </c>
      <c r="D182" s="660" t="s">
        <v>603</v>
      </c>
      <c r="E182" s="759" t="s">
        <v>48</v>
      </c>
      <c r="F182" s="759">
        <v>1</v>
      </c>
      <c r="G182" s="661" t="s">
        <v>73</v>
      </c>
      <c r="H182" s="662">
        <v>8</v>
      </c>
      <c r="I182" s="759" t="s">
        <v>61</v>
      </c>
      <c r="J182" s="759" t="s">
        <v>66</v>
      </c>
      <c r="K182" s="759" t="s">
        <v>601</v>
      </c>
      <c r="L182" s="663">
        <v>74256000</v>
      </c>
      <c r="M182" s="664">
        <f t="shared" si="27"/>
        <v>74256000</v>
      </c>
      <c r="N182" s="759" t="s">
        <v>51</v>
      </c>
      <c r="O182" s="759" t="s">
        <v>36</v>
      </c>
      <c r="P182" s="759" t="s">
        <v>511</v>
      </c>
      <c r="Q182" s="80"/>
      <c r="R182" s="665" t="s">
        <v>999</v>
      </c>
      <c r="S182" s="665" t="s">
        <v>1000</v>
      </c>
      <c r="T182" s="691">
        <v>43112</v>
      </c>
      <c r="U182" s="665" t="s">
        <v>1001</v>
      </c>
      <c r="V182" s="665" t="s">
        <v>672</v>
      </c>
      <c r="W182" s="692">
        <v>74256000</v>
      </c>
      <c r="X182" s="692">
        <v>0</v>
      </c>
      <c r="Y182" s="692">
        <v>74256000</v>
      </c>
      <c r="Z182" s="692">
        <v>74256000</v>
      </c>
      <c r="AA182" s="665" t="s">
        <v>1002</v>
      </c>
      <c r="AB182" s="665" t="s">
        <v>1340</v>
      </c>
      <c r="AC182" s="665" t="s">
        <v>969</v>
      </c>
      <c r="AD182" s="691">
        <v>43116</v>
      </c>
      <c r="AE182" s="691">
        <v>43358</v>
      </c>
      <c r="AF182" s="665" t="s">
        <v>1003</v>
      </c>
      <c r="AG182" s="665" t="s">
        <v>247</v>
      </c>
    </row>
    <row r="183" spans="1:33" ht="114" customHeight="1" x14ac:dyDescent="0.25">
      <c r="A183" s="658">
        <f t="shared" si="24"/>
        <v>137</v>
      </c>
      <c r="B183" s="759" t="s">
        <v>515</v>
      </c>
      <c r="C183" s="659">
        <v>80101706</v>
      </c>
      <c r="D183" s="660" t="s">
        <v>516</v>
      </c>
      <c r="E183" s="759" t="s">
        <v>48</v>
      </c>
      <c r="F183" s="759">
        <v>1</v>
      </c>
      <c r="G183" s="661" t="s">
        <v>73</v>
      </c>
      <c r="H183" s="662">
        <v>8</v>
      </c>
      <c r="I183" s="759" t="s">
        <v>61</v>
      </c>
      <c r="J183" s="759" t="s">
        <v>66</v>
      </c>
      <c r="K183" s="759" t="s">
        <v>601</v>
      </c>
      <c r="L183" s="663">
        <v>41848000</v>
      </c>
      <c r="M183" s="664">
        <f t="shared" si="27"/>
        <v>41848000</v>
      </c>
      <c r="N183" s="759" t="s">
        <v>51</v>
      </c>
      <c r="O183" s="759" t="s">
        <v>36</v>
      </c>
      <c r="P183" s="759" t="s">
        <v>517</v>
      </c>
      <c r="Q183" s="80"/>
      <c r="R183" s="665" t="s">
        <v>1004</v>
      </c>
      <c r="S183" s="665" t="s">
        <v>1005</v>
      </c>
      <c r="T183" s="691">
        <v>43117</v>
      </c>
      <c r="U183" s="665" t="s">
        <v>1006</v>
      </c>
      <c r="V183" s="665" t="s">
        <v>672</v>
      </c>
      <c r="W183" s="692">
        <v>41848000</v>
      </c>
      <c r="X183" s="692">
        <v>0</v>
      </c>
      <c r="Y183" s="692">
        <v>41848000</v>
      </c>
      <c r="Z183" s="692">
        <v>41848000</v>
      </c>
      <c r="AA183" s="665" t="s">
        <v>1007</v>
      </c>
      <c r="AB183" s="665" t="s">
        <v>1341</v>
      </c>
      <c r="AC183" s="665" t="s">
        <v>681</v>
      </c>
      <c r="AD183" s="691">
        <v>43117</v>
      </c>
      <c r="AE183" s="691">
        <v>43359</v>
      </c>
      <c r="AF183" s="665" t="s">
        <v>770</v>
      </c>
      <c r="AG183" s="665" t="s">
        <v>771</v>
      </c>
    </row>
    <row r="184" spans="1:33" ht="114" customHeight="1" x14ac:dyDescent="0.25">
      <c r="A184" s="658">
        <f t="shared" si="24"/>
        <v>138</v>
      </c>
      <c r="B184" s="759" t="s">
        <v>515</v>
      </c>
      <c r="C184" s="659">
        <v>80101706</v>
      </c>
      <c r="D184" s="660" t="s">
        <v>516</v>
      </c>
      <c r="E184" s="759" t="s">
        <v>48</v>
      </c>
      <c r="F184" s="759">
        <v>1</v>
      </c>
      <c r="G184" s="661" t="s">
        <v>73</v>
      </c>
      <c r="H184" s="662">
        <v>8</v>
      </c>
      <c r="I184" s="759" t="s">
        <v>61</v>
      </c>
      <c r="J184" s="759" t="s">
        <v>66</v>
      </c>
      <c r="K184" s="759" t="s">
        <v>601</v>
      </c>
      <c r="L184" s="663">
        <v>41848000</v>
      </c>
      <c r="M184" s="664">
        <f t="shared" si="27"/>
        <v>41848000</v>
      </c>
      <c r="N184" s="759" t="s">
        <v>51</v>
      </c>
      <c r="O184" s="759" t="s">
        <v>36</v>
      </c>
      <c r="P184" s="759" t="s">
        <v>517</v>
      </c>
      <c r="Q184" s="80"/>
      <c r="R184" s="665" t="s">
        <v>1008</v>
      </c>
      <c r="S184" s="665" t="s">
        <v>281</v>
      </c>
      <c r="T184" s="691">
        <v>43112</v>
      </c>
      <c r="U184" s="665" t="s">
        <v>1006</v>
      </c>
      <c r="V184" s="665" t="s">
        <v>672</v>
      </c>
      <c r="W184" s="692">
        <v>41848000</v>
      </c>
      <c r="X184" s="692">
        <v>0</v>
      </c>
      <c r="Y184" s="692">
        <v>41848000</v>
      </c>
      <c r="Z184" s="692">
        <v>41848000</v>
      </c>
      <c r="AA184" s="665" t="s">
        <v>1009</v>
      </c>
      <c r="AB184" s="665" t="s">
        <v>1342</v>
      </c>
      <c r="AC184" s="665" t="s">
        <v>969</v>
      </c>
      <c r="AD184" s="691">
        <v>43116</v>
      </c>
      <c r="AE184" s="691">
        <v>43358</v>
      </c>
      <c r="AF184" s="665" t="s">
        <v>770</v>
      </c>
      <c r="AG184" s="665" t="s">
        <v>771</v>
      </c>
    </row>
    <row r="185" spans="1:33" ht="95.1" customHeight="1" x14ac:dyDescent="0.25">
      <c r="A185" s="658">
        <f t="shared" si="24"/>
        <v>139</v>
      </c>
      <c r="B185" s="759" t="s">
        <v>515</v>
      </c>
      <c r="C185" s="659">
        <v>80101706</v>
      </c>
      <c r="D185" s="660" t="s">
        <v>516</v>
      </c>
      <c r="E185" s="759" t="s">
        <v>48</v>
      </c>
      <c r="F185" s="759">
        <v>1</v>
      </c>
      <c r="G185" s="661" t="s">
        <v>73</v>
      </c>
      <c r="H185" s="662">
        <v>8</v>
      </c>
      <c r="I185" s="759" t="s">
        <v>61</v>
      </c>
      <c r="J185" s="759" t="s">
        <v>66</v>
      </c>
      <c r="K185" s="759" t="s">
        <v>601</v>
      </c>
      <c r="L185" s="663">
        <v>31160000</v>
      </c>
      <c r="M185" s="664">
        <f t="shared" si="27"/>
        <v>31160000</v>
      </c>
      <c r="N185" s="759" t="s">
        <v>51</v>
      </c>
      <c r="O185" s="759" t="s">
        <v>36</v>
      </c>
      <c r="P185" s="759" t="s">
        <v>517</v>
      </c>
      <c r="Q185" s="80"/>
      <c r="R185" s="665" t="s">
        <v>1010</v>
      </c>
      <c r="S185" s="665" t="s">
        <v>1011</v>
      </c>
      <c r="T185" s="691">
        <v>43115</v>
      </c>
      <c r="U185" s="665" t="s">
        <v>1012</v>
      </c>
      <c r="V185" s="665" t="s">
        <v>672</v>
      </c>
      <c r="W185" s="692">
        <v>31160000</v>
      </c>
      <c r="X185" s="692">
        <v>0</v>
      </c>
      <c r="Y185" s="692">
        <v>31160000</v>
      </c>
      <c r="Z185" s="692">
        <v>31160000</v>
      </c>
      <c r="AA185" s="665" t="s">
        <v>1013</v>
      </c>
      <c r="AB185" s="665" t="s">
        <v>1343</v>
      </c>
      <c r="AC185" s="665" t="s">
        <v>974</v>
      </c>
      <c r="AD185" s="691">
        <v>43117</v>
      </c>
      <c r="AE185" s="691">
        <v>43359</v>
      </c>
      <c r="AF185" s="665" t="s">
        <v>770</v>
      </c>
      <c r="AG185" s="665" t="s">
        <v>771</v>
      </c>
    </row>
    <row r="186" spans="1:33" ht="95.1" customHeight="1" x14ac:dyDescent="0.25">
      <c r="A186" s="658">
        <f t="shared" si="24"/>
        <v>140</v>
      </c>
      <c r="B186" s="759" t="s">
        <v>515</v>
      </c>
      <c r="C186" s="659">
        <v>80101706</v>
      </c>
      <c r="D186" s="660" t="s">
        <v>516</v>
      </c>
      <c r="E186" s="759" t="s">
        <v>48</v>
      </c>
      <c r="F186" s="759">
        <v>1</v>
      </c>
      <c r="G186" s="661" t="s">
        <v>73</v>
      </c>
      <c r="H186" s="662">
        <v>8</v>
      </c>
      <c r="I186" s="759" t="s">
        <v>61</v>
      </c>
      <c r="J186" s="759" t="s">
        <v>66</v>
      </c>
      <c r="K186" s="759" t="s">
        <v>601</v>
      </c>
      <c r="L186" s="663">
        <v>31160000</v>
      </c>
      <c r="M186" s="664">
        <f t="shared" si="27"/>
        <v>31160000</v>
      </c>
      <c r="N186" s="759" t="s">
        <v>51</v>
      </c>
      <c r="O186" s="759" t="s">
        <v>36</v>
      </c>
      <c r="P186" s="759" t="s">
        <v>517</v>
      </c>
      <c r="Q186" s="80"/>
      <c r="R186" s="665" t="s">
        <v>1014</v>
      </c>
      <c r="S186" s="665" t="s">
        <v>1015</v>
      </c>
      <c r="T186" s="691">
        <v>43115</v>
      </c>
      <c r="U186" s="665" t="s">
        <v>1012</v>
      </c>
      <c r="V186" s="665" t="s">
        <v>672</v>
      </c>
      <c r="W186" s="692">
        <v>31160000</v>
      </c>
      <c r="X186" s="692">
        <v>0</v>
      </c>
      <c r="Y186" s="692">
        <v>31160000</v>
      </c>
      <c r="Z186" s="692">
        <v>31160000</v>
      </c>
      <c r="AA186" s="665" t="s">
        <v>1013</v>
      </c>
      <c r="AB186" s="665" t="s">
        <v>1344</v>
      </c>
      <c r="AC186" s="665" t="s">
        <v>974</v>
      </c>
      <c r="AD186" s="691">
        <v>43116</v>
      </c>
      <c r="AE186" s="691">
        <v>43358</v>
      </c>
      <c r="AF186" s="665" t="s">
        <v>770</v>
      </c>
      <c r="AG186" s="665" t="s">
        <v>771</v>
      </c>
    </row>
    <row r="187" spans="1:33" ht="95.1" customHeight="1" x14ac:dyDescent="0.25">
      <c r="A187" s="658">
        <f t="shared" ref="A187:A250" si="28">SUM(A186+1)</f>
        <v>141</v>
      </c>
      <c r="B187" s="759" t="s">
        <v>515</v>
      </c>
      <c r="C187" s="659">
        <v>80101706</v>
      </c>
      <c r="D187" s="660" t="s">
        <v>516</v>
      </c>
      <c r="E187" s="759" t="s">
        <v>48</v>
      </c>
      <c r="F187" s="759">
        <v>1</v>
      </c>
      <c r="G187" s="661" t="s">
        <v>73</v>
      </c>
      <c r="H187" s="662">
        <v>8</v>
      </c>
      <c r="I187" s="759" t="s">
        <v>61</v>
      </c>
      <c r="J187" s="759" t="s">
        <v>66</v>
      </c>
      <c r="K187" s="759" t="s">
        <v>601</v>
      </c>
      <c r="L187" s="663">
        <v>31160000</v>
      </c>
      <c r="M187" s="664">
        <f t="shared" si="27"/>
        <v>31160000</v>
      </c>
      <c r="N187" s="759" t="s">
        <v>51</v>
      </c>
      <c r="O187" s="759" t="s">
        <v>36</v>
      </c>
      <c r="P187" s="759" t="s">
        <v>517</v>
      </c>
      <c r="Q187" s="80"/>
      <c r="R187" s="665" t="s">
        <v>1016</v>
      </c>
      <c r="S187" s="665" t="s">
        <v>1017</v>
      </c>
      <c r="T187" s="691">
        <v>43117</v>
      </c>
      <c r="U187" s="665" t="s">
        <v>1012</v>
      </c>
      <c r="V187" s="665" t="s">
        <v>672</v>
      </c>
      <c r="W187" s="692">
        <v>31160000</v>
      </c>
      <c r="X187" s="692">
        <v>0</v>
      </c>
      <c r="Y187" s="692">
        <v>31160000</v>
      </c>
      <c r="Z187" s="692">
        <v>31160000</v>
      </c>
      <c r="AA187" s="665" t="s">
        <v>1013</v>
      </c>
      <c r="AB187" s="665" t="s">
        <v>1345</v>
      </c>
      <c r="AC187" s="665" t="s">
        <v>681</v>
      </c>
      <c r="AD187" s="691">
        <v>43118</v>
      </c>
      <c r="AE187" s="691">
        <v>43360</v>
      </c>
      <c r="AF187" s="665" t="s">
        <v>770</v>
      </c>
      <c r="AG187" s="665" t="s">
        <v>771</v>
      </c>
    </row>
    <row r="188" spans="1:33" ht="114" customHeight="1" x14ac:dyDescent="0.25">
      <c r="A188" s="658">
        <f t="shared" si="28"/>
        <v>142</v>
      </c>
      <c r="B188" s="759" t="s">
        <v>604</v>
      </c>
      <c r="C188" s="659">
        <v>80101706</v>
      </c>
      <c r="D188" s="660" t="s">
        <v>605</v>
      </c>
      <c r="E188" s="759" t="s">
        <v>48</v>
      </c>
      <c r="F188" s="759">
        <v>1</v>
      </c>
      <c r="G188" s="661" t="s">
        <v>73</v>
      </c>
      <c r="H188" s="662">
        <v>8</v>
      </c>
      <c r="I188" s="759" t="s">
        <v>61</v>
      </c>
      <c r="J188" s="759" t="s">
        <v>66</v>
      </c>
      <c r="K188" s="759" t="s">
        <v>601</v>
      </c>
      <c r="L188" s="663">
        <v>40000000</v>
      </c>
      <c r="M188" s="664">
        <f t="shared" si="27"/>
        <v>40000000</v>
      </c>
      <c r="N188" s="759" t="s">
        <v>51</v>
      </c>
      <c r="O188" s="759" t="s">
        <v>36</v>
      </c>
      <c r="P188" s="759" t="s">
        <v>319</v>
      </c>
      <c r="Q188" s="80"/>
      <c r="R188" s="665" t="s">
        <v>1018</v>
      </c>
      <c r="S188" s="665" t="s">
        <v>1019</v>
      </c>
      <c r="T188" s="691">
        <v>43119</v>
      </c>
      <c r="U188" s="665" t="s">
        <v>1020</v>
      </c>
      <c r="V188" s="665" t="s">
        <v>672</v>
      </c>
      <c r="W188" s="692">
        <v>40000000</v>
      </c>
      <c r="X188" s="692">
        <v>0</v>
      </c>
      <c r="Y188" s="692">
        <v>40000000</v>
      </c>
      <c r="Z188" s="692">
        <v>40000000</v>
      </c>
      <c r="AA188" s="665" t="s">
        <v>1021</v>
      </c>
      <c r="AB188" s="665" t="s">
        <v>1346</v>
      </c>
      <c r="AC188" s="665" t="s">
        <v>681</v>
      </c>
      <c r="AD188" s="691">
        <v>43123</v>
      </c>
      <c r="AE188" s="691">
        <v>43365</v>
      </c>
      <c r="AF188" s="665" t="s">
        <v>1022</v>
      </c>
      <c r="AG188" s="665" t="s">
        <v>823</v>
      </c>
    </row>
    <row r="189" spans="1:33" ht="95.1" customHeight="1" x14ac:dyDescent="0.25">
      <c r="A189" s="658">
        <f t="shared" si="28"/>
        <v>143</v>
      </c>
      <c r="B189" s="759" t="s">
        <v>606</v>
      </c>
      <c r="C189" s="659">
        <v>80101706</v>
      </c>
      <c r="D189" s="660" t="s">
        <v>607</v>
      </c>
      <c r="E189" s="759" t="s">
        <v>48</v>
      </c>
      <c r="F189" s="759">
        <v>1</v>
      </c>
      <c r="G189" s="661" t="s">
        <v>73</v>
      </c>
      <c r="H189" s="662">
        <v>8</v>
      </c>
      <c r="I189" s="759" t="s">
        <v>61</v>
      </c>
      <c r="J189" s="759" t="s">
        <v>66</v>
      </c>
      <c r="K189" s="759" t="s">
        <v>601</v>
      </c>
      <c r="L189" s="663">
        <v>41848000</v>
      </c>
      <c r="M189" s="664">
        <f t="shared" si="27"/>
        <v>41848000</v>
      </c>
      <c r="N189" s="759" t="s">
        <v>51</v>
      </c>
      <c r="O189" s="759" t="s">
        <v>36</v>
      </c>
      <c r="P189" s="759" t="s">
        <v>608</v>
      </c>
      <c r="Q189" s="80"/>
      <c r="R189" s="665" t="s">
        <v>1023</v>
      </c>
      <c r="S189" s="665" t="s">
        <v>609</v>
      </c>
      <c r="T189" s="691">
        <v>43116</v>
      </c>
      <c r="U189" s="665" t="s">
        <v>1024</v>
      </c>
      <c r="V189" s="665" t="s">
        <v>672</v>
      </c>
      <c r="W189" s="692">
        <v>41848000</v>
      </c>
      <c r="X189" s="692">
        <v>0</v>
      </c>
      <c r="Y189" s="692">
        <v>41848000</v>
      </c>
      <c r="Z189" s="692">
        <v>41848000</v>
      </c>
      <c r="AA189" s="665" t="s">
        <v>1025</v>
      </c>
      <c r="AB189" s="665" t="s">
        <v>1347</v>
      </c>
      <c r="AC189" s="665" t="s">
        <v>974</v>
      </c>
      <c r="AD189" s="691">
        <v>43118</v>
      </c>
      <c r="AE189" s="691">
        <v>43360</v>
      </c>
      <c r="AF189" s="665" t="s">
        <v>1026</v>
      </c>
      <c r="AG189" s="665" t="s">
        <v>1027</v>
      </c>
    </row>
    <row r="190" spans="1:33" ht="92.1" customHeight="1" x14ac:dyDescent="0.25">
      <c r="A190" s="676">
        <f t="shared" si="28"/>
        <v>144</v>
      </c>
      <c r="B190" s="677" t="s">
        <v>170</v>
      </c>
      <c r="C190" s="678">
        <v>80101706</v>
      </c>
      <c r="D190" s="679" t="s">
        <v>524</v>
      </c>
      <c r="E190" s="677" t="s">
        <v>48</v>
      </c>
      <c r="F190" s="677">
        <v>1</v>
      </c>
      <c r="G190" s="680" t="s">
        <v>73</v>
      </c>
      <c r="H190" s="681">
        <v>7</v>
      </c>
      <c r="I190" s="677" t="s">
        <v>61</v>
      </c>
      <c r="J190" s="677" t="s">
        <v>66</v>
      </c>
      <c r="K190" s="677" t="s">
        <v>601</v>
      </c>
      <c r="L190" s="682"/>
      <c r="M190" s="683"/>
      <c r="N190" s="677" t="s">
        <v>51</v>
      </c>
      <c r="O190" s="677" t="s">
        <v>36</v>
      </c>
      <c r="P190" s="677" t="s">
        <v>525</v>
      </c>
      <c r="Q190" s="80"/>
      <c r="R190" s="673" t="s">
        <v>148</v>
      </c>
      <c r="S190" s="673" t="s">
        <v>148</v>
      </c>
      <c r="T190" s="693" t="s">
        <v>148</v>
      </c>
      <c r="U190" s="673" t="s">
        <v>148</v>
      </c>
      <c r="V190" s="673" t="s">
        <v>148</v>
      </c>
      <c r="W190" s="694">
        <v>0</v>
      </c>
      <c r="X190" s="694">
        <v>0</v>
      </c>
      <c r="Y190" s="694">
        <v>0</v>
      </c>
      <c r="Z190" s="694">
        <v>0</v>
      </c>
      <c r="AA190" s="673" t="s">
        <v>148</v>
      </c>
      <c r="AB190" s="673" t="s">
        <v>148</v>
      </c>
      <c r="AC190" s="673" t="s">
        <v>148</v>
      </c>
      <c r="AD190" s="693" t="s">
        <v>148</v>
      </c>
      <c r="AE190" s="693" t="s">
        <v>148</v>
      </c>
      <c r="AF190" s="673" t="s">
        <v>148</v>
      </c>
      <c r="AG190" s="673" t="s">
        <v>148</v>
      </c>
    </row>
    <row r="191" spans="1:33" ht="171" customHeight="1" x14ac:dyDescent="0.25">
      <c r="A191" s="658">
        <f t="shared" si="28"/>
        <v>145</v>
      </c>
      <c r="B191" s="759" t="s">
        <v>170</v>
      </c>
      <c r="C191" s="659">
        <v>80101706</v>
      </c>
      <c r="D191" s="660" t="s">
        <v>524</v>
      </c>
      <c r="E191" s="759" t="s">
        <v>48</v>
      </c>
      <c r="F191" s="759">
        <v>1</v>
      </c>
      <c r="G191" s="661" t="s">
        <v>73</v>
      </c>
      <c r="H191" s="662">
        <v>6</v>
      </c>
      <c r="I191" s="759" t="s">
        <v>61</v>
      </c>
      <c r="J191" s="759" t="s">
        <v>66</v>
      </c>
      <c r="K191" s="759" t="s">
        <v>601</v>
      </c>
      <c r="L191" s="663">
        <v>39000000</v>
      </c>
      <c r="M191" s="664">
        <f t="shared" ref="M191:M205" si="29">+L191</f>
        <v>39000000</v>
      </c>
      <c r="N191" s="759" t="s">
        <v>51</v>
      </c>
      <c r="O191" s="759" t="s">
        <v>36</v>
      </c>
      <c r="P191" s="759" t="s">
        <v>525</v>
      </c>
      <c r="Q191" s="80"/>
      <c r="R191" s="665" t="s">
        <v>1028</v>
      </c>
      <c r="S191" s="665" t="s">
        <v>1029</v>
      </c>
      <c r="T191" s="691">
        <v>43116</v>
      </c>
      <c r="U191" s="665" t="s">
        <v>1030</v>
      </c>
      <c r="V191" s="665" t="s">
        <v>672</v>
      </c>
      <c r="W191" s="692">
        <v>39000000</v>
      </c>
      <c r="X191" s="692">
        <v>0</v>
      </c>
      <c r="Y191" s="692">
        <v>39000000</v>
      </c>
      <c r="Z191" s="692">
        <v>39000000</v>
      </c>
      <c r="AA191" s="665" t="s">
        <v>1031</v>
      </c>
      <c r="AB191" s="665" t="s">
        <v>1348</v>
      </c>
      <c r="AC191" s="665" t="s">
        <v>1032</v>
      </c>
      <c r="AD191" s="691">
        <v>43118</v>
      </c>
      <c r="AE191" s="691">
        <v>43298</v>
      </c>
      <c r="AF191" s="665" t="s">
        <v>1033</v>
      </c>
      <c r="AG191" s="665" t="s">
        <v>781</v>
      </c>
    </row>
    <row r="192" spans="1:33" ht="114" customHeight="1" x14ac:dyDescent="0.25">
      <c r="A192" s="658">
        <f t="shared" si="28"/>
        <v>146</v>
      </c>
      <c r="B192" s="759" t="s">
        <v>301</v>
      </c>
      <c r="C192" s="659">
        <v>80101706</v>
      </c>
      <c r="D192" s="660" t="s">
        <v>509</v>
      </c>
      <c r="E192" s="759" t="s">
        <v>48</v>
      </c>
      <c r="F192" s="759">
        <v>1</v>
      </c>
      <c r="G192" s="661" t="s">
        <v>73</v>
      </c>
      <c r="H192" s="662">
        <v>8</v>
      </c>
      <c r="I192" s="759" t="s">
        <v>61</v>
      </c>
      <c r="J192" s="759" t="s">
        <v>66</v>
      </c>
      <c r="K192" s="759" t="s">
        <v>601</v>
      </c>
      <c r="L192" s="663">
        <v>64000000</v>
      </c>
      <c r="M192" s="664">
        <f t="shared" si="29"/>
        <v>64000000</v>
      </c>
      <c r="N192" s="759" t="s">
        <v>51</v>
      </c>
      <c r="O192" s="759" t="s">
        <v>36</v>
      </c>
      <c r="P192" s="759" t="s">
        <v>502</v>
      </c>
      <c r="Q192" s="80"/>
      <c r="R192" s="665" t="s">
        <v>1034</v>
      </c>
      <c r="S192" s="665" t="s">
        <v>1035</v>
      </c>
      <c r="T192" s="691">
        <v>43116</v>
      </c>
      <c r="U192" s="665" t="s">
        <v>1036</v>
      </c>
      <c r="V192" s="665" t="s">
        <v>672</v>
      </c>
      <c r="W192" s="692">
        <v>64000000</v>
      </c>
      <c r="X192" s="692">
        <v>0</v>
      </c>
      <c r="Y192" s="692">
        <v>64000000</v>
      </c>
      <c r="Z192" s="692">
        <v>64000000</v>
      </c>
      <c r="AA192" s="665" t="s">
        <v>1037</v>
      </c>
      <c r="AB192" s="665" t="s">
        <v>1349</v>
      </c>
      <c r="AC192" s="665" t="s">
        <v>974</v>
      </c>
      <c r="AD192" s="691">
        <v>43117</v>
      </c>
      <c r="AE192" s="691">
        <v>43359</v>
      </c>
      <c r="AF192" s="665" t="s">
        <v>1038</v>
      </c>
      <c r="AG192" s="665" t="s">
        <v>301</v>
      </c>
    </row>
    <row r="193" spans="1:33" ht="171" customHeight="1" x14ac:dyDescent="0.25">
      <c r="A193" s="658">
        <f t="shared" si="28"/>
        <v>147</v>
      </c>
      <c r="B193" s="759" t="s">
        <v>267</v>
      </c>
      <c r="C193" s="659">
        <v>80101706</v>
      </c>
      <c r="D193" s="660" t="s">
        <v>528</v>
      </c>
      <c r="E193" s="759" t="s">
        <v>48</v>
      </c>
      <c r="F193" s="759">
        <v>1</v>
      </c>
      <c r="G193" s="661" t="s">
        <v>73</v>
      </c>
      <c r="H193" s="662">
        <v>8</v>
      </c>
      <c r="I193" s="759" t="s">
        <v>61</v>
      </c>
      <c r="J193" s="759" t="s">
        <v>66</v>
      </c>
      <c r="K193" s="759" t="s">
        <v>601</v>
      </c>
      <c r="L193" s="663">
        <v>44000000</v>
      </c>
      <c r="M193" s="664">
        <f t="shared" si="29"/>
        <v>44000000</v>
      </c>
      <c r="N193" s="759" t="s">
        <v>51</v>
      </c>
      <c r="O193" s="759" t="s">
        <v>36</v>
      </c>
      <c r="P193" s="759" t="s">
        <v>544</v>
      </c>
      <c r="Q193" s="80"/>
      <c r="R193" s="665" t="s">
        <v>1039</v>
      </c>
      <c r="S193" s="665" t="s">
        <v>1040</v>
      </c>
      <c r="T193" s="691">
        <v>43119</v>
      </c>
      <c r="U193" s="665" t="s">
        <v>1041</v>
      </c>
      <c r="V193" s="665" t="s">
        <v>672</v>
      </c>
      <c r="W193" s="692">
        <v>44000000</v>
      </c>
      <c r="X193" s="692">
        <v>0</v>
      </c>
      <c r="Y193" s="692">
        <v>44000000</v>
      </c>
      <c r="Z193" s="692">
        <v>44000000</v>
      </c>
      <c r="AA193" s="665" t="s">
        <v>1042</v>
      </c>
      <c r="AB193" s="665" t="s">
        <v>1350</v>
      </c>
      <c r="AC193" s="665" t="s">
        <v>681</v>
      </c>
      <c r="AD193" s="691">
        <v>43122</v>
      </c>
      <c r="AE193" s="691">
        <v>43364</v>
      </c>
      <c r="AF193" s="665" t="s">
        <v>1043</v>
      </c>
      <c r="AG193" s="665" t="s">
        <v>838</v>
      </c>
    </row>
    <row r="194" spans="1:33" ht="171" customHeight="1" x14ac:dyDescent="0.25">
      <c r="A194" s="658">
        <f t="shared" si="28"/>
        <v>148</v>
      </c>
      <c r="B194" s="759" t="s">
        <v>267</v>
      </c>
      <c r="C194" s="659">
        <v>80101706</v>
      </c>
      <c r="D194" s="660" t="s">
        <v>528</v>
      </c>
      <c r="E194" s="759" t="s">
        <v>48</v>
      </c>
      <c r="F194" s="759">
        <v>1</v>
      </c>
      <c r="G194" s="661" t="s">
        <v>73</v>
      </c>
      <c r="H194" s="662">
        <v>8</v>
      </c>
      <c r="I194" s="759" t="s">
        <v>61</v>
      </c>
      <c r="J194" s="759" t="s">
        <v>66</v>
      </c>
      <c r="K194" s="759" t="s">
        <v>601</v>
      </c>
      <c r="L194" s="663">
        <v>44000000</v>
      </c>
      <c r="M194" s="664">
        <f t="shared" si="29"/>
        <v>44000000</v>
      </c>
      <c r="N194" s="759" t="s">
        <v>51</v>
      </c>
      <c r="O194" s="759" t="s">
        <v>36</v>
      </c>
      <c r="P194" s="759" t="s">
        <v>544</v>
      </c>
      <c r="Q194" s="80"/>
      <c r="R194" s="665" t="s">
        <v>1044</v>
      </c>
      <c r="S194" s="665" t="s">
        <v>1045</v>
      </c>
      <c r="T194" s="691">
        <v>43118</v>
      </c>
      <c r="U194" s="665" t="s">
        <v>1046</v>
      </c>
      <c r="V194" s="665" t="s">
        <v>672</v>
      </c>
      <c r="W194" s="692">
        <v>44000000</v>
      </c>
      <c r="X194" s="692">
        <v>0</v>
      </c>
      <c r="Y194" s="692">
        <v>44000000</v>
      </c>
      <c r="Z194" s="692">
        <v>44000000</v>
      </c>
      <c r="AA194" s="665" t="s">
        <v>1042</v>
      </c>
      <c r="AB194" s="665" t="s">
        <v>1351</v>
      </c>
      <c r="AC194" s="665" t="s">
        <v>681</v>
      </c>
      <c r="AD194" s="691">
        <v>43122</v>
      </c>
      <c r="AE194" s="691">
        <v>43364</v>
      </c>
      <c r="AF194" s="665" t="s">
        <v>1043</v>
      </c>
      <c r="AG194" s="665" t="s">
        <v>838</v>
      </c>
    </row>
    <row r="195" spans="1:33" ht="132.94999999999999" customHeight="1" x14ac:dyDescent="0.25">
      <c r="A195" s="658">
        <f t="shared" si="28"/>
        <v>149</v>
      </c>
      <c r="B195" s="759" t="s">
        <v>267</v>
      </c>
      <c r="C195" s="659">
        <v>80101706</v>
      </c>
      <c r="D195" s="660" t="s">
        <v>528</v>
      </c>
      <c r="E195" s="759" t="s">
        <v>48</v>
      </c>
      <c r="F195" s="759">
        <v>1</v>
      </c>
      <c r="G195" s="661" t="s">
        <v>73</v>
      </c>
      <c r="H195" s="662">
        <v>6</v>
      </c>
      <c r="I195" s="759" t="s">
        <v>61</v>
      </c>
      <c r="J195" s="759" t="s">
        <v>66</v>
      </c>
      <c r="K195" s="759" t="s">
        <v>601</v>
      </c>
      <c r="L195" s="663">
        <v>32100000</v>
      </c>
      <c r="M195" s="664">
        <f t="shared" si="29"/>
        <v>32100000</v>
      </c>
      <c r="N195" s="759" t="s">
        <v>51</v>
      </c>
      <c r="O195" s="759" t="s">
        <v>36</v>
      </c>
      <c r="P195" s="759" t="s">
        <v>544</v>
      </c>
      <c r="Q195" s="80"/>
      <c r="R195" s="665" t="s">
        <v>1047</v>
      </c>
      <c r="S195" s="665" t="s">
        <v>1048</v>
      </c>
      <c r="T195" s="691">
        <v>43123</v>
      </c>
      <c r="U195" s="665" t="s">
        <v>1049</v>
      </c>
      <c r="V195" s="665" t="s">
        <v>672</v>
      </c>
      <c r="W195" s="692">
        <v>32100000</v>
      </c>
      <c r="X195" s="692">
        <v>0</v>
      </c>
      <c r="Y195" s="692">
        <v>32100000</v>
      </c>
      <c r="Z195" s="692">
        <v>32100000</v>
      </c>
      <c r="AA195" s="665" t="s">
        <v>1050</v>
      </c>
      <c r="AB195" s="665" t="s">
        <v>1352</v>
      </c>
      <c r="AC195" s="665" t="s">
        <v>1051</v>
      </c>
      <c r="AD195" s="691">
        <v>43125</v>
      </c>
      <c r="AE195" s="691">
        <v>43305</v>
      </c>
      <c r="AF195" s="665" t="s">
        <v>1052</v>
      </c>
      <c r="AG195" s="665" t="s">
        <v>838</v>
      </c>
    </row>
    <row r="196" spans="1:33" ht="114" customHeight="1" x14ac:dyDescent="0.25">
      <c r="A196" s="658">
        <f t="shared" si="28"/>
        <v>150</v>
      </c>
      <c r="B196" s="759" t="s">
        <v>267</v>
      </c>
      <c r="C196" s="659">
        <v>80101706</v>
      </c>
      <c r="D196" s="660" t="s">
        <v>528</v>
      </c>
      <c r="E196" s="759" t="s">
        <v>48</v>
      </c>
      <c r="F196" s="759">
        <v>1</v>
      </c>
      <c r="G196" s="661" t="s">
        <v>73</v>
      </c>
      <c r="H196" s="662">
        <v>8</v>
      </c>
      <c r="I196" s="759" t="s">
        <v>61</v>
      </c>
      <c r="J196" s="759" t="s">
        <v>66</v>
      </c>
      <c r="K196" s="759" t="s">
        <v>601</v>
      </c>
      <c r="L196" s="663">
        <v>29384000</v>
      </c>
      <c r="M196" s="664">
        <f t="shared" si="29"/>
        <v>29384000</v>
      </c>
      <c r="N196" s="759" t="s">
        <v>51</v>
      </c>
      <c r="O196" s="759" t="s">
        <v>36</v>
      </c>
      <c r="P196" s="759" t="s">
        <v>544</v>
      </c>
      <c r="Q196" s="80"/>
      <c r="R196" s="665" t="s">
        <v>1053</v>
      </c>
      <c r="S196" s="665" t="s">
        <v>1054</v>
      </c>
      <c r="T196" s="691">
        <v>43112</v>
      </c>
      <c r="U196" s="665" t="s">
        <v>1055</v>
      </c>
      <c r="V196" s="665" t="s">
        <v>672</v>
      </c>
      <c r="W196" s="692">
        <v>29384000</v>
      </c>
      <c r="X196" s="692">
        <v>0</v>
      </c>
      <c r="Y196" s="692">
        <v>29384000</v>
      </c>
      <c r="Z196" s="692">
        <v>29384000</v>
      </c>
      <c r="AA196" s="665" t="s">
        <v>1056</v>
      </c>
      <c r="AB196" s="665" t="s">
        <v>1353</v>
      </c>
      <c r="AC196" s="665" t="s">
        <v>969</v>
      </c>
      <c r="AD196" s="691">
        <v>43116</v>
      </c>
      <c r="AE196" s="691">
        <v>43358</v>
      </c>
      <c r="AF196" s="665" t="s">
        <v>1057</v>
      </c>
      <c r="AG196" s="665" t="s">
        <v>838</v>
      </c>
    </row>
    <row r="197" spans="1:33" ht="114" customHeight="1" x14ac:dyDescent="0.25">
      <c r="A197" s="658">
        <f t="shared" si="28"/>
        <v>151</v>
      </c>
      <c r="B197" s="759" t="s">
        <v>267</v>
      </c>
      <c r="C197" s="659">
        <v>80101706</v>
      </c>
      <c r="D197" s="660" t="s">
        <v>528</v>
      </c>
      <c r="E197" s="759" t="s">
        <v>48</v>
      </c>
      <c r="F197" s="759">
        <v>1</v>
      </c>
      <c r="G197" s="661" t="s">
        <v>73</v>
      </c>
      <c r="H197" s="662">
        <v>8</v>
      </c>
      <c r="I197" s="759" t="s">
        <v>61</v>
      </c>
      <c r="J197" s="759" t="s">
        <v>66</v>
      </c>
      <c r="K197" s="759" t="s">
        <v>601</v>
      </c>
      <c r="L197" s="663">
        <v>29384000</v>
      </c>
      <c r="M197" s="664">
        <f t="shared" si="29"/>
        <v>29384000</v>
      </c>
      <c r="N197" s="759" t="s">
        <v>51</v>
      </c>
      <c r="O197" s="759" t="s">
        <v>36</v>
      </c>
      <c r="P197" s="759" t="s">
        <v>544</v>
      </c>
      <c r="Q197" s="80"/>
      <c r="R197" s="665" t="s">
        <v>1058</v>
      </c>
      <c r="S197" s="665" t="s">
        <v>1059</v>
      </c>
      <c r="T197" s="691">
        <v>43115</v>
      </c>
      <c r="U197" s="665" t="s">
        <v>1055</v>
      </c>
      <c r="V197" s="665" t="s">
        <v>672</v>
      </c>
      <c r="W197" s="692">
        <v>29384000</v>
      </c>
      <c r="X197" s="692">
        <v>0</v>
      </c>
      <c r="Y197" s="692">
        <v>29384000</v>
      </c>
      <c r="Z197" s="692">
        <v>29384000</v>
      </c>
      <c r="AA197" s="665" t="s">
        <v>1056</v>
      </c>
      <c r="AB197" s="665" t="s">
        <v>1354</v>
      </c>
      <c r="AC197" s="665" t="s">
        <v>974</v>
      </c>
      <c r="AD197" s="691">
        <v>43117</v>
      </c>
      <c r="AE197" s="691">
        <v>43359</v>
      </c>
      <c r="AF197" s="665" t="s">
        <v>1060</v>
      </c>
      <c r="AG197" s="665" t="s">
        <v>838</v>
      </c>
    </row>
    <row r="198" spans="1:33" ht="132.94999999999999" customHeight="1" x14ac:dyDescent="0.25">
      <c r="A198" s="658">
        <f t="shared" si="28"/>
        <v>152</v>
      </c>
      <c r="B198" s="759" t="s">
        <v>267</v>
      </c>
      <c r="C198" s="659">
        <v>80101706</v>
      </c>
      <c r="D198" s="660" t="s">
        <v>635</v>
      </c>
      <c r="E198" s="759" t="s">
        <v>48</v>
      </c>
      <c r="F198" s="759">
        <v>1</v>
      </c>
      <c r="G198" s="661" t="s">
        <v>73</v>
      </c>
      <c r="H198" s="662">
        <v>8</v>
      </c>
      <c r="I198" s="759" t="s">
        <v>61</v>
      </c>
      <c r="J198" s="759" t="s">
        <v>66</v>
      </c>
      <c r="K198" s="759" t="s">
        <v>601</v>
      </c>
      <c r="L198" s="663">
        <v>15272000</v>
      </c>
      <c r="M198" s="664">
        <f t="shared" si="29"/>
        <v>15272000</v>
      </c>
      <c r="N198" s="759" t="s">
        <v>51</v>
      </c>
      <c r="O198" s="759" t="s">
        <v>36</v>
      </c>
      <c r="P198" s="759" t="s">
        <v>544</v>
      </c>
      <c r="Q198" s="80"/>
      <c r="R198" s="665" t="s">
        <v>1061</v>
      </c>
      <c r="S198" s="665" t="s">
        <v>1062</v>
      </c>
      <c r="T198" s="691">
        <v>43118</v>
      </c>
      <c r="U198" s="665" t="s">
        <v>1063</v>
      </c>
      <c r="V198" s="665" t="s">
        <v>679</v>
      </c>
      <c r="W198" s="692">
        <v>15272000</v>
      </c>
      <c r="X198" s="692">
        <v>0</v>
      </c>
      <c r="Y198" s="692">
        <v>15272000</v>
      </c>
      <c r="Z198" s="692">
        <v>15272000</v>
      </c>
      <c r="AA198" s="665" t="s">
        <v>959</v>
      </c>
      <c r="AB198" s="665" t="s">
        <v>1355</v>
      </c>
      <c r="AC198" s="665" t="s">
        <v>681</v>
      </c>
      <c r="AD198" s="691">
        <v>43122</v>
      </c>
      <c r="AE198" s="691">
        <v>43364</v>
      </c>
      <c r="AF198" s="665" t="s">
        <v>1052</v>
      </c>
      <c r="AG198" s="665" t="s">
        <v>838</v>
      </c>
    </row>
    <row r="199" spans="1:33" ht="114" customHeight="1" x14ac:dyDescent="0.25">
      <c r="A199" s="658">
        <f t="shared" si="28"/>
        <v>153</v>
      </c>
      <c r="B199" s="759" t="s">
        <v>521</v>
      </c>
      <c r="C199" s="659">
        <v>80101706</v>
      </c>
      <c r="D199" s="660" t="s">
        <v>522</v>
      </c>
      <c r="E199" s="759" t="s">
        <v>48</v>
      </c>
      <c r="F199" s="759">
        <v>1</v>
      </c>
      <c r="G199" s="661" t="s">
        <v>73</v>
      </c>
      <c r="H199" s="662">
        <v>5</v>
      </c>
      <c r="I199" s="759" t="s">
        <v>61</v>
      </c>
      <c r="J199" s="759" t="s">
        <v>66</v>
      </c>
      <c r="K199" s="759" t="s">
        <v>601</v>
      </c>
      <c r="L199" s="663">
        <v>61800000</v>
      </c>
      <c r="M199" s="664">
        <f t="shared" si="29"/>
        <v>61800000</v>
      </c>
      <c r="N199" s="759" t="s">
        <v>51</v>
      </c>
      <c r="O199" s="759" t="s">
        <v>36</v>
      </c>
      <c r="P199" s="759" t="s">
        <v>523</v>
      </c>
      <c r="Q199" s="80"/>
      <c r="R199" s="665" t="s">
        <v>1064</v>
      </c>
      <c r="S199" s="665" t="s">
        <v>1065</v>
      </c>
      <c r="T199" s="691">
        <v>43118</v>
      </c>
      <c r="U199" s="665" t="s">
        <v>1066</v>
      </c>
      <c r="V199" s="665" t="s">
        <v>672</v>
      </c>
      <c r="W199" s="692">
        <v>61800000</v>
      </c>
      <c r="X199" s="692">
        <v>0</v>
      </c>
      <c r="Y199" s="692">
        <v>61800000</v>
      </c>
      <c r="Z199" s="692">
        <v>61800000</v>
      </c>
      <c r="AA199" s="665" t="s">
        <v>1067</v>
      </c>
      <c r="AB199" s="665" t="s">
        <v>1356</v>
      </c>
      <c r="AC199" s="665" t="s">
        <v>847</v>
      </c>
      <c r="AD199" s="691">
        <v>43122</v>
      </c>
      <c r="AE199" s="691">
        <v>43272</v>
      </c>
      <c r="AF199" s="665" t="s">
        <v>1068</v>
      </c>
      <c r="AG199" s="665" t="s">
        <v>805</v>
      </c>
    </row>
    <row r="200" spans="1:33" ht="114" customHeight="1" x14ac:dyDescent="0.25">
      <c r="A200" s="658">
        <f t="shared" si="28"/>
        <v>154</v>
      </c>
      <c r="B200" s="759" t="s">
        <v>521</v>
      </c>
      <c r="C200" s="659">
        <v>80101706</v>
      </c>
      <c r="D200" s="660" t="s">
        <v>522</v>
      </c>
      <c r="E200" s="759" t="s">
        <v>48</v>
      </c>
      <c r="F200" s="759">
        <v>1</v>
      </c>
      <c r="G200" s="661" t="s">
        <v>73</v>
      </c>
      <c r="H200" s="662">
        <v>5</v>
      </c>
      <c r="I200" s="759" t="s">
        <v>61</v>
      </c>
      <c r="J200" s="759" t="s">
        <v>66</v>
      </c>
      <c r="K200" s="759" t="s">
        <v>601</v>
      </c>
      <c r="L200" s="663">
        <v>61800000</v>
      </c>
      <c r="M200" s="664">
        <f t="shared" si="29"/>
        <v>61800000</v>
      </c>
      <c r="N200" s="759" t="s">
        <v>51</v>
      </c>
      <c r="O200" s="759" t="s">
        <v>36</v>
      </c>
      <c r="P200" s="759" t="s">
        <v>523</v>
      </c>
      <c r="Q200" s="80"/>
      <c r="R200" s="665" t="s">
        <v>1069</v>
      </c>
      <c r="S200" s="665" t="s">
        <v>1070</v>
      </c>
      <c r="T200" s="691">
        <v>43118</v>
      </c>
      <c r="U200" s="665" t="s">
        <v>1066</v>
      </c>
      <c r="V200" s="665" t="s">
        <v>672</v>
      </c>
      <c r="W200" s="692">
        <v>61800000</v>
      </c>
      <c r="X200" s="692">
        <v>0</v>
      </c>
      <c r="Y200" s="692">
        <v>61800000</v>
      </c>
      <c r="Z200" s="692">
        <v>61800000</v>
      </c>
      <c r="AA200" s="665" t="s">
        <v>1067</v>
      </c>
      <c r="AB200" s="665" t="s">
        <v>1357</v>
      </c>
      <c r="AC200" s="665" t="s">
        <v>847</v>
      </c>
      <c r="AD200" s="691">
        <v>43122</v>
      </c>
      <c r="AE200" s="691">
        <v>43272</v>
      </c>
      <c r="AF200" s="665" t="s">
        <v>1068</v>
      </c>
      <c r="AG200" s="665" t="s">
        <v>805</v>
      </c>
    </row>
    <row r="201" spans="1:33" ht="114" customHeight="1" x14ac:dyDescent="0.25">
      <c r="A201" s="658">
        <f t="shared" si="28"/>
        <v>155</v>
      </c>
      <c r="B201" s="759" t="s">
        <v>521</v>
      </c>
      <c r="C201" s="659">
        <v>80101706</v>
      </c>
      <c r="D201" s="660" t="s">
        <v>522</v>
      </c>
      <c r="E201" s="759" t="s">
        <v>48</v>
      </c>
      <c r="F201" s="759">
        <v>1</v>
      </c>
      <c r="G201" s="661" t="s">
        <v>73</v>
      </c>
      <c r="H201" s="662">
        <v>5</v>
      </c>
      <c r="I201" s="759" t="s">
        <v>61</v>
      </c>
      <c r="J201" s="759" t="s">
        <v>66</v>
      </c>
      <c r="K201" s="759" t="s">
        <v>601</v>
      </c>
      <c r="L201" s="663">
        <v>61800000</v>
      </c>
      <c r="M201" s="664">
        <f t="shared" si="29"/>
        <v>61800000</v>
      </c>
      <c r="N201" s="759" t="s">
        <v>51</v>
      </c>
      <c r="O201" s="759" t="s">
        <v>36</v>
      </c>
      <c r="P201" s="759" t="s">
        <v>523</v>
      </c>
      <c r="Q201" s="80"/>
      <c r="R201" s="665" t="s">
        <v>1071</v>
      </c>
      <c r="S201" s="665" t="s">
        <v>1072</v>
      </c>
      <c r="T201" s="691">
        <v>43118</v>
      </c>
      <c r="U201" s="665" t="s">
        <v>1066</v>
      </c>
      <c r="V201" s="665" t="s">
        <v>672</v>
      </c>
      <c r="W201" s="692">
        <v>61800000</v>
      </c>
      <c r="X201" s="692">
        <v>0</v>
      </c>
      <c r="Y201" s="692">
        <v>61800000</v>
      </c>
      <c r="Z201" s="692">
        <v>61800000</v>
      </c>
      <c r="AA201" s="665" t="s">
        <v>1067</v>
      </c>
      <c r="AB201" s="665" t="s">
        <v>1358</v>
      </c>
      <c r="AC201" s="665" t="s">
        <v>847</v>
      </c>
      <c r="AD201" s="691">
        <v>43122</v>
      </c>
      <c r="AE201" s="691">
        <v>43272</v>
      </c>
      <c r="AF201" s="665" t="s">
        <v>1068</v>
      </c>
      <c r="AG201" s="665" t="s">
        <v>805</v>
      </c>
    </row>
    <row r="202" spans="1:33" ht="114" customHeight="1" x14ac:dyDescent="0.25">
      <c r="A202" s="658">
        <f t="shared" si="28"/>
        <v>156</v>
      </c>
      <c r="B202" s="759" t="s">
        <v>521</v>
      </c>
      <c r="C202" s="659">
        <v>80101706</v>
      </c>
      <c r="D202" s="660" t="s">
        <v>522</v>
      </c>
      <c r="E202" s="759" t="s">
        <v>48</v>
      </c>
      <c r="F202" s="759">
        <v>1</v>
      </c>
      <c r="G202" s="661" t="s">
        <v>73</v>
      </c>
      <c r="H202" s="662">
        <v>5</v>
      </c>
      <c r="I202" s="759" t="s">
        <v>61</v>
      </c>
      <c r="J202" s="759" t="s">
        <v>66</v>
      </c>
      <c r="K202" s="759" t="s">
        <v>601</v>
      </c>
      <c r="L202" s="663">
        <v>61800000</v>
      </c>
      <c r="M202" s="664">
        <f t="shared" si="29"/>
        <v>61800000</v>
      </c>
      <c r="N202" s="759" t="s">
        <v>51</v>
      </c>
      <c r="O202" s="759" t="s">
        <v>36</v>
      </c>
      <c r="P202" s="759" t="s">
        <v>523</v>
      </c>
      <c r="Q202" s="80"/>
      <c r="R202" s="665" t="s">
        <v>1073</v>
      </c>
      <c r="S202" s="665" t="s">
        <v>1074</v>
      </c>
      <c r="T202" s="691">
        <v>43118</v>
      </c>
      <c r="U202" s="665" t="s">
        <v>1066</v>
      </c>
      <c r="V202" s="665" t="s">
        <v>672</v>
      </c>
      <c r="W202" s="692">
        <v>61800000</v>
      </c>
      <c r="X202" s="692">
        <v>0</v>
      </c>
      <c r="Y202" s="692">
        <v>61800000</v>
      </c>
      <c r="Z202" s="692">
        <v>61800000</v>
      </c>
      <c r="AA202" s="665" t="s">
        <v>1067</v>
      </c>
      <c r="AB202" s="665" t="s">
        <v>1359</v>
      </c>
      <c r="AC202" s="665" t="s">
        <v>847</v>
      </c>
      <c r="AD202" s="691">
        <v>43122</v>
      </c>
      <c r="AE202" s="691">
        <v>43272</v>
      </c>
      <c r="AF202" s="665" t="s">
        <v>1068</v>
      </c>
      <c r="AG202" s="665" t="s">
        <v>805</v>
      </c>
    </row>
    <row r="203" spans="1:33" ht="114.95" customHeight="1" x14ac:dyDescent="0.25">
      <c r="A203" s="658">
        <f t="shared" si="28"/>
        <v>157</v>
      </c>
      <c r="B203" s="759" t="s">
        <v>171</v>
      </c>
      <c r="C203" s="659">
        <v>80101706</v>
      </c>
      <c r="D203" s="660" t="s">
        <v>534</v>
      </c>
      <c r="E203" s="759" t="s">
        <v>48</v>
      </c>
      <c r="F203" s="759">
        <v>1</v>
      </c>
      <c r="G203" s="661" t="s">
        <v>73</v>
      </c>
      <c r="H203" s="662">
        <v>8</v>
      </c>
      <c r="I203" s="759" t="s">
        <v>61</v>
      </c>
      <c r="J203" s="759" t="s">
        <v>66</v>
      </c>
      <c r="K203" s="759" t="s">
        <v>601</v>
      </c>
      <c r="L203" s="663">
        <v>35616000</v>
      </c>
      <c r="M203" s="664">
        <f t="shared" si="29"/>
        <v>35616000</v>
      </c>
      <c r="N203" s="759" t="s">
        <v>51</v>
      </c>
      <c r="O203" s="759" t="s">
        <v>36</v>
      </c>
      <c r="P203" s="759" t="s">
        <v>533</v>
      </c>
      <c r="Q203" s="80"/>
      <c r="R203" s="665" t="s">
        <v>1075</v>
      </c>
      <c r="S203" s="665" t="s">
        <v>1076</v>
      </c>
      <c r="T203" s="691">
        <v>43112</v>
      </c>
      <c r="U203" s="665" t="s">
        <v>1077</v>
      </c>
      <c r="V203" s="665" t="s">
        <v>672</v>
      </c>
      <c r="W203" s="692">
        <v>35616000</v>
      </c>
      <c r="X203" s="692">
        <v>0</v>
      </c>
      <c r="Y203" s="692">
        <v>35616000</v>
      </c>
      <c r="Z203" s="692">
        <v>35616000</v>
      </c>
      <c r="AA203" s="665" t="s">
        <v>1078</v>
      </c>
      <c r="AB203" s="665" t="s">
        <v>1360</v>
      </c>
      <c r="AC203" s="665" t="s">
        <v>969</v>
      </c>
      <c r="AD203" s="691">
        <v>43116</v>
      </c>
      <c r="AE203" s="691">
        <v>43358</v>
      </c>
      <c r="AF203" s="665" t="s">
        <v>1079</v>
      </c>
      <c r="AG203" s="665" t="s">
        <v>864</v>
      </c>
    </row>
    <row r="204" spans="1:33" ht="114.95" customHeight="1" x14ac:dyDescent="0.25">
      <c r="A204" s="658">
        <f t="shared" si="28"/>
        <v>158</v>
      </c>
      <c r="B204" s="759" t="s">
        <v>171</v>
      </c>
      <c r="C204" s="659">
        <v>80101706</v>
      </c>
      <c r="D204" s="660" t="s">
        <v>534</v>
      </c>
      <c r="E204" s="759" t="s">
        <v>48</v>
      </c>
      <c r="F204" s="759">
        <v>1</v>
      </c>
      <c r="G204" s="661" t="s">
        <v>73</v>
      </c>
      <c r="H204" s="662">
        <v>8</v>
      </c>
      <c r="I204" s="759" t="s">
        <v>61</v>
      </c>
      <c r="J204" s="759" t="s">
        <v>66</v>
      </c>
      <c r="K204" s="759" t="s">
        <v>601</v>
      </c>
      <c r="L204" s="663">
        <v>35616000</v>
      </c>
      <c r="M204" s="664">
        <f t="shared" si="29"/>
        <v>35616000</v>
      </c>
      <c r="N204" s="759" t="s">
        <v>51</v>
      </c>
      <c r="O204" s="759" t="s">
        <v>36</v>
      </c>
      <c r="P204" s="759" t="s">
        <v>533</v>
      </c>
      <c r="Q204" s="80"/>
      <c r="R204" s="665" t="s">
        <v>1080</v>
      </c>
      <c r="S204" s="665" t="s">
        <v>1081</v>
      </c>
      <c r="T204" s="691">
        <v>43118</v>
      </c>
      <c r="U204" s="665" t="s">
        <v>1082</v>
      </c>
      <c r="V204" s="665" t="s">
        <v>672</v>
      </c>
      <c r="W204" s="692">
        <v>35616000</v>
      </c>
      <c r="X204" s="692">
        <v>0</v>
      </c>
      <c r="Y204" s="692">
        <v>35616000</v>
      </c>
      <c r="Z204" s="692">
        <v>35616000</v>
      </c>
      <c r="AA204" s="665" t="s">
        <v>1083</v>
      </c>
      <c r="AB204" s="665" t="s">
        <v>1361</v>
      </c>
      <c r="AC204" s="665" t="s">
        <v>681</v>
      </c>
      <c r="AD204" s="691">
        <v>43122</v>
      </c>
      <c r="AE204" s="691">
        <v>43364</v>
      </c>
      <c r="AF204" s="665" t="s">
        <v>863</v>
      </c>
      <c r="AG204" s="665" t="s">
        <v>864</v>
      </c>
    </row>
    <row r="205" spans="1:33" ht="114.95" customHeight="1" x14ac:dyDescent="0.25">
      <c r="A205" s="658">
        <f t="shared" si="28"/>
        <v>159</v>
      </c>
      <c r="B205" s="759" t="s">
        <v>171</v>
      </c>
      <c r="C205" s="659">
        <v>80101706</v>
      </c>
      <c r="D205" s="660" t="s">
        <v>534</v>
      </c>
      <c r="E205" s="759" t="s">
        <v>48</v>
      </c>
      <c r="F205" s="759">
        <v>1</v>
      </c>
      <c r="G205" s="661" t="s">
        <v>73</v>
      </c>
      <c r="H205" s="662">
        <v>8</v>
      </c>
      <c r="I205" s="759" t="s">
        <v>61</v>
      </c>
      <c r="J205" s="759" t="s">
        <v>66</v>
      </c>
      <c r="K205" s="759" t="s">
        <v>601</v>
      </c>
      <c r="L205" s="663">
        <v>35616000</v>
      </c>
      <c r="M205" s="664">
        <f t="shared" si="29"/>
        <v>35616000</v>
      </c>
      <c r="N205" s="759" t="s">
        <v>51</v>
      </c>
      <c r="O205" s="759" t="s">
        <v>36</v>
      </c>
      <c r="P205" s="759" t="s">
        <v>533</v>
      </c>
      <c r="Q205" s="80"/>
      <c r="R205" s="665" t="s">
        <v>1084</v>
      </c>
      <c r="S205" s="665" t="s">
        <v>1085</v>
      </c>
      <c r="T205" s="691">
        <v>43118</v>
      </c>
      <c r="U205" s="665" t="s">
        <v>1082</v>
      </c>
      <c r="V205" s="665" t="s">
        <v>672</v>
      </c>
      <c r="W205" s="692">
        <v>35616000</v>
      </c>
      <c r="X205" s="692">
        <v>0</v>
      </c>
      <c r="Y205" s="692">
        <v>35616000</v>
      </c>
      <c r="Z205" s="692">
        <v>35616000</v>
      </c>
      <c r="AA205" s="665" t="s">
        <v>1083</v>
      </c>
      <c r="AB205" s="665" t="s">
        <v>1362</v>
      </c>
      <c r="AC205" s="665" t="s">
        <v>681</v>
      </c>
      <c r="AD205" s="691">
        <v>43122</v>
      </c>
      <c r="AE205" s="691">
        <v>43364</v>
      </c>
      <c r="AF205" s="665" t="s">
        <v>863</v>
      </c>
      <c r="AG205" s="665" t="s">
        <v>864</v>
      </c>
    </row>
    <row r="206" spans="1:33" ht="189.95" customHeight="1" x14ac:dyDescent="0.25">
      <c r="A206" s="658">
        <f t="shared" si="28"/>
        <v>160</v>
      </c>
      <c r="B206" s="759" t="s">
        <v>171</v>
      </c>
      <c r="C206" s="659">
        <v>80101706</v>
      </c>
      <c r="D206" s="660" t="s">
        <v>534</v>
      </c>
      <c r="E206" s="759" t="s">
        <v>48</v>
      </c>
      <c r="F206" s="759">
        <v>1</v>
      </c>
      <c r="G206" s="661" t="s">
        <v>73</v>
      </c>
      <c r="H206" s="662">
        <v>8</v>
      </c>
      <c r="I206" s="759" t="s">
        <v>61</v>
      </c>
      <c r="J206" s="759" t="s">
        <v>66</v>
      </c>
      <c r="K206" s="759" t="s">
        <v>601</v>
      </c>
      <c r="L206" s="663">
        <v>48000000</v>
      </c>
      <c r="M206" s="664">
        <v>48000000</v>
      </c>
      <c r="N206" s="759" t="s">
        <v>51</v>
      </c>
      <c r="O206" s="759" t="s">
        <v>36</v>
      </c>
      <c r="P206" s="759" t="s">
        <v>533</v>
      </c>
      <c r="Q206" s="80"/>
      <c r="R206" s="665" t="s">
        <v>1086</v>
      </c>
      <c r="S206" s="665" t="s">
        <v>239</v>
      </c>
      <c r="T206" s="691">
        <v>43125</v>
      </c>
      <c r="U206" s="665" t="s">
        <v>1087</v>
      </c>
      <c r="V206" s="665" t="s">
        <v>672</v>
      </c>
      <c r="W206" s="692">
        <v>48000000</v>
      </c>
      <c r="X206" s="692">
        <v>0</v>
      </c>
      <c r="Y206" s="692">
        <v>48000000</v>
      </c>
      <c r="Z206" s="692">
        <v>48000000</v>
      </c>
      <c r="AA206" s="665" t="s">
        <v>1088</v>
      </c>
      <c r="AB206" s="665" t="s">
        <v>1363</v>
      </c>
      <c r="AC206" s="665" t="s">
        <v>681</v>
      </c>
      <c r="AD206" s="691">
        <v>43126</v>
      </c>
      <c r="AE206" s="691">
        <v>43368</v>
      </c>
      <c r="AF206" s="665" t="s">
        <v>1089</v>
      </c>
      <c r="AG206" s="665" t="s">
        <v>864</v>
      </c>
    </row>
    <row r="207" spans="1:33" ht="114.95" customHeight="1" x14ac:dyDescent="0.25">
      <c r="A207" s="658">
        <f t="shared" si="28"/>
        <v>161</v>
      </c>
      <c r="B207" s="759" t="s">
        <v>171</v>
      </c>
      <c r="C207" s="659">
        <v>80101706</v>
      </c>
      <c r="D207" s="660" t="s">
        <v>534</v>
      </c>
      <c r="E207" s="759" t="s">
        <v>48</v>
      </c>
      <c r="F207" s="759">
        <v>1</v>
      </c>
      <c r="G207" s="661" t="s">
        <v>73</v>
      </c>
      <c r="H207" s="662">
        <v>8</v>
      </c>
      <c r="I207" s="759" t="s">
        <v>61</v>
      </c>
      <c r="J207" s="759" t="s">
        <v>66</v>
      </c>
      <c r="K207" s="759" t="s">
        <v>601</v>
      </c>
      <c r="L207" s="663">
        <v>35616000</v>
      </c>
      <c r="M207" s="664">
        <f t="shared" ref="M207:M243" si="30">+L207</f>
        <v>35616000</v>
      </c>
      <c r="N207" s="759" t="s">
        <v>51</v>
      </c>
      <c r="O207" s="759" t="s">
        <v>36</v>
      </c>
      <c r="P207" s="759" t="s">
        <v>533</v>
      </c>
      <c r="Q207" s="80"/>
      <c r="R207" s="665" t="s">
        <v>1090</v>
      </c>
      <c r="S207" s="665" t="s">
        <v>1091</v>
      </c>
      <c r="T207" s="691">
        <v>43119</v>
      </c>
      <c r="U207" s="665" t="s">
        <v>1092</v>
      </c>
      <c r="V207" s="665" t="s">
        <v>672</v>
      </c>
      <c r="W207" s="692">
        <v>35616000</v>
      </c>
      <c r="X207" s="692">
        <v>0</v>
      </c>
      <c r="Y207" s="692">
        <v>35616000</v>
      </c>
      <c r="Z207" s="692">
        <v>35616000</v>
      </c>
      <c r="AA207" s="665" t="s">
        <v>1083</v>
      </c>
      <c r="AB207" s="665" t="s">
        <v>1364</v>
      </c>
      <c r="AC207" s="665" t="s">
        <v>681</v>
      </c>
      <c r="AD207" s="691">
        <v>43122</v>
      </c>
      <c r="AE207" s="691">
        <v>43364</v>
      </c>
      <c r="AF207" s="665" t="s">
        <v>1089</v>
      </c>
      <c r="AG207" s="665" t="s">
        <v>864</v>
      </c>
    </row>
    <row r="208" spans="1:33" ht="132.94999999999999" customHeight="1" x14ac:dyDescent="0.25">
      <c r="A208" s="658">
        <f t="shared" si="28"/>
        <v>162</v>
      </c>
      <c r="B208" s="759" t="s">
        <v>171</v>
      </c>
      <c r="C208" s="659">
        <v>80101706</v>
      </c>
      <c r="D208" s="660" t="s">
        <v>534</v>
      </c>
      <c r="E208" s="759" t="s">
        <v>48</v>
      </c>
      <c r="F208" s="759">
        <v>1</v>
      </c>
      <c r="G208" s="661" t="s">
        <v>73</v>
      </c>
      <c r="H208" s="662">
        <v>8</v>
      </c>
      <c r="I208" s="759" t="s">
        <v>61</v>
      </c>
      <c r="J208" s="759" t="s">
        <v>66</v>
      </c>
      <c r="K208" s="759" t="s">
        <v>601</v>
      </c>
      <c r="L208" s="663">
        <v>73484000</v>
      </c>
      <c r="M208" s="664">
        <f t="shared" si="30"/>
        <v>73484000</v>
      </c>
      <c r="N208" s="759" t="s">
        <v>51</v>
      </c>
      <c r="O208" s="759" t="s">
        <v>36</v>
      </c>
      <c r="P208" s="759" t="s">
        <v>533</v>
      </c>
      <c r="Q208" s="80"/>
      <c r="R208" s="665" t="s">
        <v>1093</v>
      </c>
      <c r="S208" s="665" t="s">
        <v>1094</v>
      </c>
      <c r="T208" s="691">
        <v>43111</v>
      </c>
      <c r="U208" s="665" t="s">
        <v>1095</v>
      </c>
      <c r="V208" s="665" t="s">
        <v>672</v>
      </c>
      <c r="W208" s="692">
        <v>45927500</v>
      </c>
      <c r="X208" s="692">
        <v>22963750</v>
      </c>
      <c r="Y208" s="692">
        <f>W208+X208</f>
        <v>68891250</v>
      </c>
      <c r="Z208" s="692">
        <f>Y208</f>
        <v>68891250</v>
      </c>
      <c r="AA208" s="665" t="s">
        <v>1096</v>
      </c>
      <c r="AB208" s="665" t="s">
        <v>1365</v>
      </c>
      <c r="AC208" s="665" t="s">
        <v>693</v>
      </c>
      <c r="AD208" s="691">
        <v>43117</v>
      </c>
      <c r="AE208" s="691">
        <v>43267</v>
      </c>
      <c r="AF208" s="665" t="s">
        <v>1079</v>
      </c>
      <c r="AG208" s="665" t="s">
        <v>864</v>
      </c>
    </row>
    <row r="209" spans="1:33" ht="95.1" customHeight="1" x14ac:dyDescent="0.25">
      <c r="A209" s="658">
        <f t="shared" si="28"/>
        <v>163</v>
      </c>
      <c r="B209" s="759" t="s">
        <v>521</v>
      </c>
      <c r="C209" s="659">
        <v>80101706</v>
      </c>
      <c r="D209" s="660" t="s">
        <v>522</v>
      </c>
      <c r="E209" s="759" t="s">
        <v>48</v>
      </c>
      <c r="F209" s="759">
        <v>1</v>
      </c>
      <c r="G209" s="661" t="s">
        <v>73</v>
      </c>
      <c r="H209" s="662">
        <v>8</v>
      </c>
      <c r="I209" s="759" t="s">
        <v>61</v>
      </c>
      <c r="J209" s="759" t="s">
        <v>66</v>
      </c>
      <c r="K209" s="759" t="s">
        <v>610</v>
      </c>
      <c r="L209" s="663">
        <v>34720000</v>
      </c>
      <c r="M209" s="664">
        <f t="shared" si="30"/>
        <v>34720000</v>
      </c>
      <c r="N209" s="759" t="s">
        <v>51</v>
      </c>
      <c r="O209" s="759" t="s">
        <v>36</v>
      </c>
      <c r="P209" s="759" t="s">
        <v>523</v>
      </c>
      <c r="Q209" s="80"/>
      <c r="R209" s="665" t="s">
        <v>1097</v>
      </c>
      <c r="S209" s="665" t="s">
        <v>1098</v>
      </c>
      <c r="T209" s="691">
        <v>43116</v>
      </c>
      <c r="U209" s="665" t="s">
        <v>1099</v>
      </c>
      <c r="V209" s="665" t="s">
        <v>672</v>
      </c>
      <c r="W209" s="692">
        <v>34720000</v>
      </c>
      <c r="X209" s="692">
        <v>0</v>
      </c>
      <c r="Y209" s="692">
        <v>34720000</v>
      </c>
      <c r="Z209" s="692">
        <v>34720000</v>
      </c>
      <c r="AA209" s="665" t="s">
        <v>1100</v>
      </c>
      <c r="AB209" s="665" t="s">
        <v>1366</v>
      </c>
      <c r="AC209" s="665" t="s">
        <v>681</v>
      </c>
      <c r="AD209" s="691">
        <v>43117</v>
      </c>
      <c r="AE209" s="691">
        <v>43359</v>
      </c>
      <c r="AF209" s="665" t="s">
        <v>1068</v>
      </c>
      <c r="AG209" s="665" t="s">
        <v>805</v>
      </c>
    </row>
    <row r="210" spans="1:33" ht="132.94999999999999" customHeight="1" x14ac:dyDescent="0.25">
      <c r="A210" s="658">
        <f t="shared" si="28"/>
        <v>164</v>
      </c>
      <c r="B210" s="759" t="s">
        <v>521</v>
      </c>
      <c r="C210" s="659">
        <v>80101706</v>
      </c>
      <c r="D210" s="660" t="s">
        <v>522</v>
      </c>
      <c r="E210" s="759" t="s">
        <v>48</v>
      </c>
      <c r="F210" s="759">
        <v>1</v>
      </c>
      <c r="G210" s="661" t="s">
        <v>73</v>
      </c>
      <c r="H210" s="662">
        <v>8</v>
      </c>
      <c r="I210" s="759" t="s">
        <v>61</v>
      </c>
      <c r="J210" s="759" t="s">
        <v>66</v>
      </c>
      <c r="K210" s="759" t="s">
        <v>610</v>
      </c>
      <c r="L210" s="663">
        <v>32000000</v>
      </c>
      <c r="M210" s="664">
        <f t="shared" si="30"/>
        <v>32000000</v>
      </c>
      <c r="N210" s="759" t="s">
        <v>51</v>
      </c>
      <c r="O210" s="759" t="s">
        <v>36</v>
      </c>
      <c r="P210" s="759" t="s">
        <v>523</v>
      </c>
      <c r="Q210" s="80"/>
      <c r="R210" s="665" t="s">
        <v>1101</v>
      </c>
      <c r="S210" s="665" t="s">
        <v>1102</v>
      </c>
      <c r="T210" s="691">
        <v>43122</v>
      </c>
      <c r="U210" s="665" t="s">
        <v>1103</v>
      </c>
      <c r="V210" s="665" t="s">
        <v>672</v>
      </c>
      <c r="W210" s="692">
        <v>32000000</v>
      </c>
      <c r="X210" s="692">
        <v>0</v>
      </c>
      <c r="Y210" s="692">
        <v>32000000</v>
      </c>
      <c r="Z210" s="692">
        <v>32000000</v>
      </c>
      <c r="AA210" s="665" t="s">
        <v>1104</v>
      </c>
      <c r="AB210" s="665" t="s">
        <v>1367</v>
      </c>
      <c r="AC210" s="665" t="s">
        <v>681</v>
      </c>
      <c r="AD210" s="691">
        <v>43124</v>
      </c>
      <c r="AE210" s="691">
        <v>43366</v>
      </c>
      <c r="AF210" s="665" t="s">
        <v>1068</v>
      </c>
      <c r="AG210" s="665" t="s">
        <v>805</v>
      </c>
    </row>
    <row r="211" spans="1:33" ht="114" customHeight="1" x14ac:dyDescent="0.25">
      <c r="A211" s="658">
        <f t="shared" si="28"/>
        <v>165</v>
      </c>
      <c r="B211" s="759" t="s">
        <v>521</v>
      </c>
      <c r="C211" s="659">
        <v>80101706</v>
      </c>
      <c r="D211" s="660" t="s">
        <v>522</v>
      </c>
      <c r="E211" s="759" t="s">
        <v>48</v>
      </c>
      <c r="F211" s="759">
        <v>1</v>
      </c>
      <c r="G211" s="661" t="s">
        <v>73</v>
      </c>
      <c r="H211" s="662">
        <v>8</v>
      </c>
      <c r="I211" s="759" t="s">
        <v>61</v>
      </c>
      <c r="J211" s="759" t="s">
        <v>66</v>
      </c>
      <c r="K211" s="759" t="s">
        <v>610</v>
      </c>
      <c r="L211" s="663">
        <v>16000000</v>
      </c>
      <c r="M211" s="664">
        <f t="shared" si="30"/>
        <v>16000000</v>
      </c>
      <c r="N211" s="759" t="s">
        <v>51</v>
      </c>
      <c r="O211" s="759" t="s">
        <v>36</v>
      </c>
      <c r="P211" s="759" t="s">
        <v>523</v>
      </c>
      <c r="Q211" s="80"/>
      <c r="R211" s="665" t="s">
        <v>1105</v>
      </c>
      <c r="S211" s="665" t="s">
        <v>1106</v>
      </c>
      <c r="T211" s="691">
        <v>43117</v>
      </c>
      <c r="U211" s="665" t="s">
        <v>1107</v>
      </c>
      <c r="V211" s="665" t="s">
        <v>679</v>
      </c>
      <c r="W211" s="692">
        <v>16000000</v>
      </c>
      <c r="X211" s="692">
        <v>0</v>
      </c>
      <c r="Y211" s="692">
        <v>16000000</v>
      </c>
      <c r="Z211" s="692">
        <v>16000000</v>
      </c>
      <c r="AA211" s="665" t="s">
        <v>1108</v>
      </c>
      <c r="AB211" s="665" t="s">
        <v>1368</v>
      </c>
      <c r="AC211" s="665" t="s">
        <v>681</v>
      </c>
      <c r="AD211" s="691">
        <v>43118</v>
      </c>
      <c r="AE211" s="691">
        <v>43360</v>
      </c>
      <c r="AF211" s="665" t="s">
        <v>1068</v>
      </c>
      <c r="AG211" s="665" t="s">
        <v>805</v>
      </c>
    </row>
    <row r="212" spans="1:33" ht="132.94999999999999" customHeight="1" x14ac:dyDescent="0.25">
      <c r="A212" s="658">
        <f t="shared" si="28"/>
        <v>166</v>
      </c>
      <c r="B212" s="759" t="s">
        <v>521</v>
      </c>
      <c r="C212" s="659">
        <v>80101706</v>
      </c>
      <c r="D212" s="660" t="s">
        <v>522</v>
      </c>
      <c r="E212" s="759" t="s">
        <v>48</v>
      </c>
      <c r="F212" s="759">
        <v>1</v>
      </c>
      <c r="G212" s="661" t="s">
        <v>73</v>
      </c>
      <c r="H212" s="662">
        <v>8</v>
      </c>
      <c r="I212" s="759" t="s">
        <v>61</v>
      </c>
      <c r="J212" s="759" t="s">
        <v>66</v>
      </c>
      <c r="K212" s="759" t="s">
        <v>610</v>
      </c>
      <c r="L212" s="663">
        <v>40000000</v>
      </c>
      <c r="M212" s="664">
        <f t="shared" si="30"/>
        <v>40000000</v>
      </c>
      <c r="N212" s="759" t="s">
        <v>51</v>
      </c>
      <c r="O212" s="759" t="s">
        <v>36</v>
      </c>
      <c r="P212" s="759" t="s">
        <v>523</v>
      </c>
      <c r="Q212" s="80"/>
      <c r="R212" s="665" t="s">
        <v>1109</v>
      </c>
      <c r="S212" s="665" t="s">
        <v>1110</v>
      </c>
      <c r="T212" s="691">
        <v>43117</v>
      </c>
      <c r="U212" s="665" t="s">
        <v>1111</v>
      </c>
      <c r="V212" s="665" t="s">
        <v>672</v>
      </c>
      <c r="W212" s="692">
        <v>40000000</v>
      </c>
      <c r="X212" s="692">
        <v>0</v>
      </c>
      <c r="Y212" s="692">
        <v>40000000</v>
      </c>
      <c r="Z212" s="692">
        <v>40000000</v>
      </c>
      <c r="AA212" s="665" t="s">
        <v>1021</v>
      </c>
      <c r="AB212" s="665" t="s">
        <v>1369</v>
      </c>
      <c r="AC212" s="665" t="s">
        <v>681</v>
      </c>
      <c r="AD212" s="691">
        <v>43118</v>
      </c>
      <c r="AE212" s="691">
        <v>43360</v>
      </c>
      <c r="AF212" s="665" t="s">
        <v>1068</v>
      </c>
      <c r="AG212" s="665" t="s">
        <v>805</v>
      </c>
    </row>
    <row r="213" spans="1:33" ht="132.94999999999999" customHeight="1" x14ac:dyDescent="0.25">
      <c r="A213" s="658">
        <f t="shared" si="28"/>
        <v>167</v>
      </c>
      <c r="B213" s="759" t="s">
        <v>521</v>
      </c>
      <c r="C213" s="659">
        <v>80101706</v>
      </c>
      <c r="D213" s="660" t="s">
        <v>522</v>
      </c>
      <c r="E213" s="759" t="s">
        <v>48</v>
      </c>
      <c r="F213" s="759">
        <v>1</v>
      </c>
      <c r="G213" s="661" t="s">
        <v>73</v>
      </c>
      <c r="H213" s="662">
        <v>7</v>
      </c>
      <c r="I213" s="759" t="s">
        <v>61</v>
      </c>
      <c r="J213" s="759" t="s">
        <v>66</v>
      </c>
      <c r="K213" s="759" t="s">
        <v>610</v>
      </c>
      <c r="L213" s="663">
        <v>42000000</v>
      </c>
      <c r="M213" s="664">
        <f t="shared" si="30"/>
        <v>42000000</v>
      </c>
      <c r="N213" s="759" t="s">
        <v>51</v>
      </c>
      <c r="O213" s="759" t="s">
        <v>36</v>
      </c>
      <c r="P213" s="759" t="s">
        <v>523</v>
      </c>
      <c r="Q213" s="80"/>
      <c r="R213" s="665" t="s">
        <v>1112</v>
      </c>
      <c r="S213" s="665" t="s">
        <v>1113</v>
      </c>
      <c r="T213" s="691">
        <v>43122</v>
      </c>
      <c r="U213" s="665" t="s">
        <v>1114</v>
      </c>
      <c r="V213" s="665" t="s">
        <v>672</v>
      </c>
      <c r="W213" s="692">
        <v>42000000</v>
      </c>
      <c r="X213" s="692">
        <v>0</v>
      </c>
      <c r="Y213" s="692">
        <v>42000000</v>
      </c>
      <c r="Z213" s="692">
        <v>42000000</v>
      </c>
      <c r="AA213" s="665" t="s">
        <v>1115</v>
      </c>
      <c r="AB213" s="665" t="s">
        <v>1370</v>
      </c>
      <c r="AC213" s="665" t="s">
        <v>1116</v>
      </c>
      <c r="AD213" s="691">
        <v>43125</v>
      </c>
      <c r="AE213" s="691">
        <v>43333</v>
      </c>
      <c r="AF213" s="665" t="s">
        <v>1068</v>
      </c>
      <c r="AG213" s="665" t="s">
        <v>805</v>
      </c>
    </row>
    <row r="214" spans="1:33" ht="95.1" customHeight="1" x14ac:dyDescent="0.25">
      <c r="A214" s="658">
        <f t="shared" si="28"/>
        <v>168</v>
      </c>
      <c r="B214" s="759" t="s">
        <v>521</v>
      </c>
      <c r="C214" s="659">
        <v>80101706</v>
      </c>
      <c r="D214" s="660" t="s">
        <v>522</v>
      </c>
      <c r="E214" s="759" t="s">
        <v>48</v>
      </c>
      <c r="F214" s="759">
        <v>1</v>
      </c>
      <c r="G214" s="661" t="s">
        <v>73</v>
      </c>
      <c r="H214" s="662">
        <v>8</v>
      </c>
      <c r="I214" s="759" t="s">
        <v>61</v>
      </c>
      <c r="J214" s="759" t="s">
        <v>66</v>
      </c>
      <c r="K214" s="759" t="s">
        <v>610</v>
      </c>
      <c r="L214" s="663">
        <v>80000000</v>
      </c>
      <c r="M214" s="664">
        <f t="shared" si="30"/>
        <v>80000000</v>
      </c>
      <c r="N214" s="759" t="s">
        <v>51</v>
      </c>
      <c r="O214" s="759" t="s">
        <v>36</v>
      </c>
      <c r="P214" s="759" t="s">
        <v>523</v>
      </c>
      <c r="Q214" s="80"/>
      <c r="R214" s="665" t="s">
        <v>1117</v>
      </c>
      <c r="S214" s="665" t="s">
        <v>1118</v>
      </c>
      <c r="T214" s="691">
        <v>43116</v>
      </c>
      <c r="U214" s="665" t="s">
        <v>1119</v>
      </c>
      <c r="V214" s="665" t="s">
        <v>672</v>
      </c>
      <c r="W214" s="692">
        <v>80000000</v>
      </c>
      <c r="X214" s="692">
        <v>0</v>
      </c>
      <c r="Y214" s="692">
        <v>80000000</v>
      </c>
      <c r="Z214" s="692">
        <v>80000000</v>
      </c>
      <c r="AA214" s="665" t="s">
        <v>1120</v>
      </c>
      <c r="AB214" s="665" t="s">
        <v>1371</v>
      </c>
      <c r="AC214" s="665" t="s">
        <v>974</v>
      </c>
      <c r="AD214" s="691">
        <v>43122</v>
      </c>
      <c r="AE214" s="691">
        <v>43364</v>
      </c>
      <c r="AF214" s="665" t="s">
        <v>804</v>
      </c>
      <c r="AG214" s="665" t="s">
        <v>805</v>
      </c>
    </row>
    <row r="215" spans="1:33" ht="114" customHeight="1" x14ac:dyDescent="0.25">
      <c r="A215" s="658">
        <f t="shared" si="28"/>
        <v>169</v>
      </c>
      <c r="B215" s="759" t="s">
        <v>521</v>
      </c>
      <c r="C215" s="659">
        <v>80101706</v>
      </c>
      <c r="D215" s="660" t="s">
        <v>522</v>
      </c>
      <c r="E215" s="759" t="s">
        <v>48</v>
      </c>
      <c r="F215" s="759">
        <v>1</v>
      </c>
      <c r="G215" s="661" t="s">
        <v>73</v>
      </c>
      <c r="H215" s="662">
        <v>8</v>
      </c>
      <c r="I215" s="759" t="s">
        <v>61</v>
      </c>
      <c r="J215" s="759" t="s">
        <v>66</v>
      </c>
      <c r="K215" s="759" t="s">
        <v>610</v>
      </c>
      <c r="L215" s="663">
        <v>72000000</v>
      </c>
      <c r="M215" s="664">
        <f t="shared" si="30"/>
        <v>72000000</v>
      </c>
      <c r="N215" s="759" t="s">
        <v>51</v>
      </c>
      <c r="O215" s="759" t="s">
        <v>36</v>
      </c>
      <c r="P215" s="759" t="s">
        <v>523</v>
      </c>
      <c r="Q215" s="80"/>
      <c r="R215" s="665" t="s">
        <v>1121</v>
      </c>
      <c r="S215" s="665" t="s">
        <v>1122</v>
      </c>
      <c r="T215" s="691">
        <v>43116</v>
      </c>
      <c r="U215" s="665" t="s">
        <v>1123</v>
      </c>
      <c r="V215" s="665" t="s">
        <v>672</v>
      </c>
      <c r="W215" s="692">
        <v>72000000</v>
      </c>
      <c r="X215" s="692">
        <v>0</v>
      </c>
      <c r="Y215" s="692">
        <v>72000000</v>
      </c>
      <c r="Z215" s="692">
        <v>72000000</v>
      </c>
      <c r="AA215" s="665" t="s">
        <v>1124</v>
      </c>
      <c r="AB215" s="665" t="s">
        <v>1372</v>
      </c>
      <c r="AC215" s="665" t="s">
        <v>974</v>
      </c>
      <c r="AD215" s="691">
        <v>43122</v>
      </c>
      <c r="AE215" s="691">
        <v>43364</v>
      </c>
      <c r="AF215" s="665" t="s">
        <v>804</v>
      </c>
      <c r="AG215" s="665" t="s">
        <v>805</v>
      </c>
    </row>
    <row r="216" spans="1:33" ht="114" customHeight="1" x14ac:dyDescent="0.25">
      <c r="A216" s="658">
        <f t="shared" si="28"/>
        <v>170</v>
      </c>
      <c r="B216" s="759" t="s">
        <v>521</v>
      </c>
      <c r="C216" s="659">
        <v>80101706</v>
      </c>
      <c r="D216" s="660" t="s">
        <v>522</v>
      </c>
      <c r="E216" s="759" t="s">
        <v>48</v>
      </c>
      <c r="F216" s="759">
        <v>1</v>
      </c>
      <c r="G216" s="661" t="s">
        <v>73</v>
      </c>
      <c r="H216" s="662">
        <v>8</v>
      </c>
      <c r="I216" s="759" t="s">
        <v>61</v>
      </c>
      <c r="J216" s="759" t="s">
        <v>66</v>
      </c>
      <c r="K216" s="759" t="s">
        <v>610</v>
      </c>
      <c r="L216" s="663">
        <v>72000000</v>
      </c>
      <c r="M216" s="664">
        <f t="shared" si="30"/>
        <v>72000000</v>
      </c>
      <c r="N216" s="759" t="s">
        <v>51</v>
      </c>
      <c r="O216" s="759" t="s">
        <v>36</v>
      </c>
      <c r="P216" s="759" t="s">
        <v>523</v>
      </c>
      <c r="Q216" s="80"/>
      <c r="R216" s="665" t="s">
        <v>1125</v>
      </c>
      <c r="S216" s="665" t="s">
        <v>1126</v>
      </c>
      <c r="T216" s="691">
        <v>43115</v>
      </c>
      <c r="U216" s="665" t="s">
        <v>1123</v>
      </c>
      <c r="V216" s="665" t="s">
        <v>672</v>
      </c>
      <c r="W216" s="692">
        <v>72000000</v>
      </c>
      <c r="X216" s="692">
        <v>0</v>
      </c>
      <c r="Y216" s="692">
        <v>72000000</v>
      </c>
      <c r="Z216" s="692">
        <v>72000000</v>
      </c>
      <c r="AA216" s="665" t="s">
        <v>1124</v>
      </c>
      <c r="AB216" s="665" t="s">
        <v>1373</v>
      </c>
      <c r="AC216" s="665" t="s">
        <v>974</v>
      </c>
      <c r="AD216" s="691">
        <v>43122</v>
      </c>
      <c r="AE216" s="691">
        <v>43364</v>
      </c>
      <c r="AF216" s="665" t="s">
        <v>804</v>
      </c>
      <c r="AG216" s="665" t="s">
        <v>805</v>
      </c>
    </row>
    <row r="217" spans="1:33" ht="114" customHeight="1" x14ac:dyDescent="0.25">
      <c r="A217" s="658">
        <f t="shared" si="28"/>
        <v>171</v>
      </c>
      <c r="B217" s="759" t="s">
        <v>521</v>
      </c>
      <c r="C217" s="659">
        <v>80101706</v>
      </c>
      <c r="D217" s="660" t="s">
        <v>522</v>
      </c>
      <c r="E217" s="759" t="s">
        <v>48</v>
      </c>
      <c r="F217" s="759">
        <v>1</v>
      </c>
      <c r="G217" s="661" t="s">
        <v>73</v>
      </c>
      <c r="H217" s="662">
        <v>8</v>
      </c>
      <c r="I217" s="759" t="s">
        <v>61</v>
      </c>
      <c r="J217" s="759" t="s">
        <v>66</v>
      </c>
      <c r="K217" s="759" t="s">
        <v>610</v>
      </c>
      <c r="L217" s="663">
        <v>72000000</v>
      </c>
      <c r="M217" s="664">
        <f t="shared" si="30"/>
        <v>72000000</v>
      </c>
      <c r="N217" s="759" t="s">
        <v>51</v>
      </c>
      <c r="O217" s="759" t="s">
        <v>36</v>
      </c>
      <c r="P217" s="759" t="s">
        <v>523</v>
      </c>
      <c r="Q217" s="80"/>
      <c r="R217" s="665" t="s">
        <v>1127</v>
      </c>
      <c r="S217" s="665" t="s">
        <v>1128</v>
      </c>
      <c r="T217" s="691">
        <v>43116</v>
      </c>
      <c r="U217" s="665" t="s">
        <v>1123</v>
      </c>
      <c r="V217" s="665" t="s">
        <v>672</v>
      </c>
      <c r="W217" s="692">
        <v>72000000</v>
      </c>
      <c r="X217" s="692">
        <v>0</v>
      </c>
      <c r="Y217" s="692">
        <v>72000000</v>
      </c>
      <c r="Z217" s="692">
        <v>72000000</v>
      </c>
      <c r="AA217" s="665" t="s">
        <v>1124</v>
      </c>
      <c r="AB217" s="665" t="s">
        <v>1374</v>
      </c>
      <c r="AC217" s="665" t="s">
        <v>974</v>
      </c>
      <c r="AD217" s="691">
        <v>43122</v>
      </c>
      <c r="AE217" s="691">
        <v>43364</v>
      </c>
      <c r="AF217" s="665" t="s">
        <v>1068</v>
      </c>
      <c r="AG217" s="665" t="s">
        <v>805</v>
      </c>
    </row>
    <row r="218" spans="1:33" ht="114" customHeight="1" x14ac:dyDescent="0.25">
      <c r="A218" s="658">
        <f t="shared" si="28"/>
        <v>172</v>
      </c>
      <c r="B218" s="759" t="s">
        <v>521</v>
      </c>
      <c r="C218" s="659">
        <v>80101706</v>
      </c>
      <c r="D218" s="660" t="s">
        <v>522</v>
      </c>
      <c r="E218" s="759" t="s">
        <v>48</v>
      </c>
      <c r="F218" s="759">
        <v>1</v>
      </c>
      <c r="G218" s="661" t="s">
        <v>73</v>
      </c>
      <c r="H218" s="662">
        <v>8</v>
      </c>
      <c r="I218" s="759" t="s">
        <v>61</v>
      </c>
      <c r="J218" s="759" t="s">
        <v>66</v>
      </c>
      <c r="K218" s="759" t="s">
        <v>610</v>
      </c>
      <c r="L218" s="663">
        <v>72000000</v>
      </c>
      <c r="M218" s="664">
        <f t="shared" si="30"/>
        <v>72000000</v>
      </c>
      <c r="N218" s="759" t="s">
        <v>51</v>
      </c>
      <c r="O218" s="759" t="s">
        <v>36</v>
      </c>
      <c r="P218" s="759" t="s">
        <v>523</v>
      </c>
      <c r="Q218" s="80"/>
      <c r="R218" s="665" t="s">
        <v>1129</v>
      </c>
      <c r="S218" s="665" t="s">
        <v>1130</v>
      </c>
      <c r="T218" s="691">
        <v>43122</v>
      </c>
      <c r="U218" s="665" t="s">
        <v>1123</v>
      </c>
      <c r="V218" s="665" t="s">
        <v>672</v>
      </c>
      <c r="W218" s="692">
        <v>72000000</v>
      </c>
      <c r="X218" s="692">
        <v>0</v>
      </c>
      <c r="Y218" s="692">
        <v>72000000</v>
      </c>
      <c r="Z218" s="692">
        <v>72000000</v>
      </c>
      <c r="AA218" s="665" t="s">
        <v>1131</v>
      </c>
      <c r="AB218" s="665" t="s">
        <v>1375</v>
      </c>
      <c r="AC218" s="665" t="s">
        <v>681</v>
      </c>
      <c r="AD218" s="691">
        <v>43124</v>
      </c>
      <c r="AE218" s="691">
        <v>43366</v>
      </c>
      <c r="AF218" s="665" t="s">
        <v>1068</v>
      </c>
      <c r="AG218" s="665" t="s">
        <v>805</v>
      </c>
    </row>
    <row r="219" spans="1:33" ht="114" customHeight="1" x14ac:dyDescent="0.25">
      <c r="A219" s="658">
        <f t="shared" si="28"/>
        <v>173</v>
      </c>
      <c r="B219" s="759" t="s">
        <v>521</v>
      </c>
      <c r="C219" s="659">
        <v>80101706</v>
      </c>
      <c r="D219" s="660" t="s">
        <v>522</v>
      </c>
      <c r="E219" s="759" t="s">
        <v>48</v>
      </c>
      <c r="F219" s="759">
        <v>1</v>
      </c>
      <c r="G219" s="661" t="s">
        <v>73</v>
      </c>
      <c r="H219" s="662">
        <v>8</v>
      </c>
      <c r="I219" s="759" t="s">
        <v>61</v>
      </c>
      <c r="J219" s="759" t="s">
        <v>66</v>
      </c>
      <c r="K219" s="759" t="s">
        <v>610</v>
      </c>
      <c r="L219" s="663">
        <v>72000000</v>
      </c>
      <c r="M219" s="664">
        <f t="shared" si="30"/>
        <v>72000000</v>
      </c>
      <c r="N219" s="759" t="s">
        <v>51</v>
      </c>
      <c r="O219" s="759" t="s">
        <v>36</v>
      </c>
      <c r="P219" s="759" t="s">
        <v>523</v>
      </c>
      <c r="Q219" s="80"/>
      <c r="R219" s="665" t="s">
        <v>1132</v>
      </c>
      <c r="S219" s="665" t="s">
        <v>1133</v>
      </c>
      <c r="T219" s="691">
        <v>43116</v>
      </c>
      <c r="U219" s="665" t="s">
        <v>1123</v>
      </c>
      <c r="V219" s="665" t="s">
        <v>672</v>
      </c>
      <c r="W219" s="692">
        <v>72000000</v>
      </c>
      <c r="X219" s="692">
        <v>0</v>
      </c>
      <c r="Y219" s="692">
        <v>72000000</v>
      </c>
      <c r="Z219" s="692">
        <v>72000000</v>
      </c>
      <c r="AA219" s="665" t="s">
        <v>1124</v>
      </c>
      <c r="AB219" s="665" t="s">
        <v>1376</v>
      </c>
      <c r="AC219" s="665" t="s">
        <v>974</v>
      </c>
      <c r="AD219" s="691">
        <v>43122</v>
      </c>
      <c r="AE219" s="691">
        <v>43364</v>
      </c>
      <c r="AF219" s="665" t="s">
        <v>1068</v>
      </c>
      <c r="AG219" s="665" t="s">
        <v>805</v>
      </c>
    </row>
    <row r="220" spans="1:33" ht="114" customHeight="1" x14ac:dyDescent="0.25">
      <c r="A220" s="658">
        <f t="shared" si="28"/>
        <v>174</v>
      </c>
      <c r="B220" s="759" t="s">
        <v>521</v>
      </c>
      <c r="C220" s="659">
        <v>80101706</v>
      </c>
      <c r="D220" s="660" t="s">
        <v>522</v>
      </c>
      <c r="E220" s="759" t="s">
        <v>48</v>
      </c>
      <c r="F220" s="759">
        <v>1</v>
      </c>
      <c r="G220" s="661" t="s">
        <v>73</v>
      </c>
      <c r="H220" s="662">
        <v>8</v>
      </c>
      <c r="I220" s="759" t="s">
        <v>61</v>
      </c>
      <c r="J220" s="759" t="s">
        <v>66</v>
      </c>
      <c r="K220" s="759" t="s">
        <v>610</v>
      </c>
      <c r="L220" s="663">
        <v>72000000</v>
      </c>
      <c r="M220" s="664">
        <f t="shared" si="30"/>
        <v>72000000</v>
      </c>
      <c r="N220" s="759" t="s">
        <v>51</v>
      </c>
      <c r="O220" s="759" t="s">
        <v>36</v>
      </c>
      <c r="P220" s="759" t="s">
        <v>523</v>
      </c>
      <c r="Q220" s="80"/>
      <c r="R220" s="665" t="s">
        <v>1134</v>
      </c>
      <c r="S220" s="665" t="s">
        <v>1135</v>
      </c>
      <c r="T220" s="691">
        <v>43124</v>
      </c>
      <c r="U220" s="665" t="s">
        <v>1136</v>
      </c>
      <c r="V220" s="665" t="s">
        <v>672</v>
      </c>
      <c r="W220" s="692">
        <v>72000000</v>
      </c>
      <c r="X220" s="692">
        <v>0</v>
      </c>
      <c r="Y220" s="692">
        <v>72000000</v>
      </c>
      <c r="Z220" s="692">
        <v>72000000</v>
      </c>
      <c r="AA220" s="665" t="s">
        <v>1137</v>
      </c>
      <c r="AB220" s="665" t="s">
        <v>1376</v>
      </c>
      <c r="AC220" s="665" t="s">
        <v>681</v>
      </c>
      <c r="AD220" s="691">
        <v>43126</v>
      </c>
      <c r="AE220" s="691">
        <v>43368</v>
      </c>
      <c r="AF220" s="665" t="s">
        <v>1068</v>
      </c>
      <c r="AG220" s="665" t="s">
        <v>805</v>
      </c>
    </row>
    <row r="221" spans="1:33" ht="132.94999999999999" customHeight="1" x14ac:dyDescent="0.25">
      <c r="A221" s="658">
        <f t="shared" si="28"/>
        <v>175</v>
      </c>
      <c r="B221" s="759" t="s">
        <v>521</v>
      </c>
      <c r="C221" s="659">
        <v>80101706</v>
      </c>
      <c r="D221" s="660" t="s">
        <v>522</v>
      </c>
      <c r="E221" s="759" t="s">
        <v>48</v>
      </c>
      <c r="F221" s="759">
        <v>1</v>
      </c>
      <c r="G221" s="661" t="s">
        <v>73</v>
      </c>
      <c r="H221" s="662">
        <v>5</v>
      </c>
      <c r="I221" s="759" t="s">
        <v>61</v>
      </c>
      <c r="J221" s="759" t="s">
        <v>66</v>
      </c>
      <c r="K221" s="759" t="s">
        <v>601</v>
      </c>
      <c r="L221" s="663">
        <v>45000000</v>
      </c>
      <c r="M221" s="664">
        <f t="shared" si="30"/>
        <v>45000000</v>
      </c>
      <c r="N221" s="759" t="s">
        <v>51</v>
      </c>
      <c r="O221" s="759" t="s">
        <v>36</v>
      </c>
      <c r="P221" s="759" t="s">
        <v>523</v>
      </c>
      <c r="Q221" s="80"/>
      <c r="R221" s="665" t="s">
        <v>1138</v>
      </c>
      <c r="S221" s="665" t="s">
        <v>1139</v>
      </c>
      <c r="T221" s="691">
        <v>43118</v>
      </c>
      <c r="U221" s="665" t="s">
        <v>1140</v>
      </c>
      <c r="V221" s="665" t="s">
        <v>672</v>
      </c>
      <c r="W221" s="692">
        <v>45000000</v>
      </c>
      <c r="X221" s="692">
        <v>0</v>
      </c>
      <c r="Y221" s="692">
        <v>45000000</v>
      </c>
      <c r="Z221" s="692">
        <v>45000000</v>
      </c>
      <c r="AA221" s="665" t="s">
        <v>813</v>
      </c>
      <c r="AB221" s="665" t="s">
        <v>1377</v>
      </c>
      <c r="AC221" s="665" t="s">
        <v>847</v>
      </c>
      <c r="AD221" s="691">
        <v>43122</v>
      </c>
      <c r="AE221" s="691">
        <v>43272</v>
      </c>
      <c r="AF221" s="665" t="s">
        <v>1068</v>
      </c>
      <c r="AG221" s="665" t="s">
        <v>805</v>
      </c>
    </row>
    <row r="222" spans="1:33" ht="114" customHeight="1" x14ac:dyDescent="0.25">
      <c r="A222" s="658">
        <f t="shared" si="28"/>
        <v>176</v>
      </c>
      <c r="B222" s="759" t="s">
        <v>521</v>
      </c>
      <c r="C222" s="659">
        <v>80101706</v>
      </c>
      <c r="D222" s="660" t="s">
        <v>522</v>
      </c>
      <c r="E222" s="759" t="s">
        <v>48</v>
      </c>
      <c r="F222" s="759">
        <v>1</v>
      </c>
      <c r="G222" s="661" t="s">
        <v>73</v>
      </c>
      <c r="H222" s="662">
        <v>8</v>
      </c>
      <c r="I222" s="759" t="s">
        <v>61</v>
      </c>
      <c r="J222" s="759" t="s">
        <v>66</v>
      </c>
      <c r="K222" s="759" t="s">
        <v>610</v>
      </c>
      <c r="L222" s="663">
        <v>48000000</v>
      </c>
      <c r="M222" s="664">
        <f t="shared" si="30"/>
        <v>48000000</v>
      </c>
      <c r="N222" s="759" t="s">
        <v>51</v>
      </c>
      <c r="O222" s="759" t="s">
        <v>36</v>
      </c>
      <c r="P222" s="759" t="s">
        <v>523</v>
      </c>
      <c r="Q222" s="80"/>
      <c r="R222" s="665" t="s">
        <v>1141</v>
      </c>
      <c r="S222" s="665" t="s">
        <v>1142</v>
      </c>
      <c r="T222" s="691">
        <v>43116</v>
      </c>
      <c r="U222" s="665" t="s">
        <v>1143</v>
      </c>
      <c r="V222" s="665" t="s">
        <v>672</v>
      </c>
      <c r="W222" s="692">
        <v>48000000</v>
      </c>
      <c r="X222" s="692">
        <v>0</v>
      </c>
      <c r="Y222" s="692">
        <v>48000000</v>
      </c>
      <c r="Z222" s="692">
        <v>48000000</v>
      </c>
      <c r="AA222" s="665" t="s">
        <v>973</v>
      </c>
      <c r="AB222" s="665" t="s">
        <v>1378</v>
      </c>
      <c r="AC222" s="665" t="s">
        <v>974</v>
      </c>
      <c r="AD222" s="691">
        <v>43122</v>
      </c>
      <c r="AE222" s="691">
        <v>43364</v>
      </c>
      <c r="AF222" s="665" t="s">
        <v>1068</v>
      </c>
      <c r="AG222" s="665" t="s">
        <v>805</v>
      </c>
    </row>
    <row r="223" spans="1:33" ht="114" customHeight="1" x14ac:dyDescent="0.25">
      <c r="A223" s="658">
        <f t="shared" si="28"/>
        <v>177</v>
      </c>
      <c r="B223" s="759" t="s">
        <v>521</v>
      </c>
      <c r="C223" s="659">
        <v>80101706</v>
      </c>
      <c r="D223" s="660" t="s">
        <v>522</v>
      </c>
      <c r="E223" s="759" t="s">
        <v>48</v>
      </c>
      <c r="F223" s="759">
        <v>1</v>
      </c>
      <c r="G223" s="661" t="s">
        <v>73</v>
      </c>
      <c r="H223" s="662">
        <v>8</v>
      </c>
      <c r="I223" s="759" t="s">
        <v>61</v>
      </c>
      <c r="J223" s="759" t="s">
        <v>66</v>
      </c>
      <c r="K223" s="759" t="s">
        <v>610</v>
      </c>
      <c r="L223" s="663">
        <v>48000000</v>
      </c>
      <c r="M223" s="664">
        <f t="shared" si="30"/>
        <v>48000000</v>
      </c>
      <c r="N223" s="759" t="s">
        <v>51</v>
      </c>
      <c r="O223" s="759" t="s">
        <v>36</v>
      </c>
      <c r="P223" s="759" t="s">
        <v>523</v>
      </c>
      <c r="Q223" s="80"/>
      <c r="R223" s="665" t="s">
        <v>1144</v>
      </c>
      <c r="S223" s="665" t="s">
        <v>1145</v>
      </c>
      <c r="T223" s="691">
        <v>43118</v>
      </c>
      <c r="U223" s="665" t="s">
        <v>1143</v>
      </c>
      <c r="V223" s="665" t="s">
        <v>672</v>
      </c>
      <c r="W223" s="692">
        <v>48000000</v>
      </c>
      <c r="X223" s="692">
        <v>0</v>
      </c>
      <c r="Y223" s="692">
        <v>48000000</v>
      </c>
      <c r="Z223" s="692">
        <v>48000000</v>
      </c>
      <c r="AA223" s="665" t="s">
        <v>973</v>
      </c>
      <c r="AB223" s="665" t="s">
        <v>1379</v>
      </c>
      <c r="AC223" s="665" t="s">
        <v>681</v>
      </c>
      <c r="AD223" s="691">
        <v>43119</v>
      </c>
      <c r="AE223" s="691">
        <v>43361</v>
      </c>
      <c r="AF223" s="665" t="s">
        <v>1068</v>
      </c>
      <c r="AG223" s="665" t="s">
        <v>805</v>
      </c>
    </row>
    <row r="224" spans="1:33" ht="114" customHeight="1" x14ac:dyDescent="0.25">
      <c r="A224" s="658">
        <f t="shared" si="28"/>
        <v>178</v>
      </c>
      <c r="B224" s="759" t="s">
        <v>521</v>
      </c>
      <c r="C224" s="659">
        <v>80101706</v>
      </c>
      <c r="D224" s="660" t="s">
        <v>522</v>
      </c>
      <c r="E224" s="759" t="s">
        <v>48</v>
      </c>
      <c r="F224" s="759">
        <v>1</v>
      </c>
      <c r="G224" s="661" t="s">
        <v>73</v>
      </c>
      <c r="H224" s="662">
        <v>8</v>
      </c>
      <c r="I224" s="759" t="s">
        <v>61</v>
      </c>
      <c r="J224" s="759" t="s">
        <v>66</v>
      </c>
      <c r="K224" s="759" t="s">
        <v>610</v>
      </c>
      <c r="L224" s="663">
        <v>48000000</v>
      </c>
      <c r="M224" s="664">
        <f t="shared" si="30"/>
        <v>48000000</v>
      </c>
      <c r="N224" s="759" t="s">
        <v>51</v>
      </c>
      <c r="O224" s="759" t="s">
        <v>36</v>
      </c>
      <c r="P224" s="759" t="s">
        <v>523</v>
      </c>
      <c r="Q224" s="80"/>
      <c r="R224" s="665" t="s">
        <v>1146</v>
      </c>
      <c r="S224" s="665" t="s">
        <v>1147</v>
      </c>
      <c r="T224" s="691">
        <v>43117</v>
      </c>
      <c r="U224" s="665" t="s">
        <v>1143</v>
      </c>
      <c r="V224" s="665" t="s">
        <v>672</v>
      </c>
      <c r="W224" s="692">
        <v>48000000</v>
      </c>
      <c r="X224" s="692">
        <v>0</v>
      </c>
      <c r="Y224" s="692">
        <v>48000000</v>
      </c>
      <c r="Z224" s="692">
        <v>48000000</v>
      </c>
      <c r="AA224" s="665" t="s">
        <v>973</v>
      </c>
      <c r="AB224" s="665" t="s">
        <v>1380</v>
      </c>
      <c r="AC224" s="665" t="s">
        <v>974</v>
      </c>
      <c r="AD224" s="691">
        <v>43122</v>
      </c>
      <c r="AE224" s="691">
        <v>43364</v>
      </c>
      <c r="AF224" s="665" t="s">
        <v>1068</v>
      </c>
      <c r="AG224" s="665" t="s">
        <v>805</v>
      </c>
    </row>
    <row r="225" spans="1:33" ht="114" customHeight="1" x14ac:dyDescent="0.25">
      <c r="A225" s="658">
        <f t="shared" si="28"/>
        <v>179</v>
      </c>
      <c r="B225" s="759" t="s">
        <v>521</v>
      </c>
      <c r="C225" s="659">
        <v>80101706</v>
      </c>
      <c r="D225" s="660" t="s">
        <v>522</v>
      </c>
      <c r="E225" s="759" t="s">
        <v>48</v>
      </c>
      <c r="F225" s="759">
        <v>1</v>
      </c>
      <c r="G225" s="661" t="s">
        <v>73</v>
      </c>
      <c r="H225" s="662">
        <v>8</v>
      </c>
      <c r="I225" s="759" t="s">
        <v>61</v>
      </c>
      <c r="J225" s="759" t="s">
        <v>66</v>
      </c>
      <c r="K225" s="759" t="s">
        <v>610</v>
      </c>
      <c r="L225" s="663">
        <v>72000000</v>
      </c>
      <c r="M225" s="664">
        <f t="shared" si="30"/>
        <v>72000000</v>
      </c>
      <c r="N225" s="759" t="s">
        <v>51</v>
      </c>
      <c r="O225" s="759" t="s">
        <v>36</v>
      </c>
      <c r="P225" s="759" t="s">
        <v>523</v>
      </c>
      <c r="Q225" s="80"/>
      <c r="R225" s="665" t="s">
        <v>1148</v>
      </c>
      <c r="S225" s="665" t="s">
        <v>1149</v>
      </c>
      <c r="T225" s="691">
        <v>43117</v>
      </c>
      <c r="U225" s="665" t="s">
        <v>1150</v>
      </c>
      <c r="V225" s="665" t="s">
        <v>672</v>
      </c>
      <c r="W225" s="692">
        <v>72000000</v>
      </c>
      <c r="X225" s="692">
        <v>0</v>
      </c>
      <c r="Y225" s="692">
        <v>72000000</v>
      </c>
      <c r="Z225" s="692">
        <v>72000000</v>
      </c>
      <c r="AA225" s="665" t="s">
        <v>1124</v>
      </c>
      <c r="AB225" s="665" t="s">
        <v>1381</v>
      </c>
      <c r="AC225" s="665" t="s">
        <v>681</v>
      </c>
      <c r="AD225" s="691">
        <v>43118</v>
      </c>
      <c r="AE225" s="691">
        <v>43360</v>
      </c>
      <c r="AF225" s="665" t="s">
        <v>1068</v>
      </c>
      <c r="AG225" s="665" t="s">
        <v>805</v>
      </c>
    </row>
    <row r="226" spans="1:33" ht="114" customHeight="1" x14ac:dyDescent="0.25">
      <c r="A226" s="658">
        <f t="shared" si="28"/>
        <v>180</v>
      </c>
      <c r="B226" s="759" t="s">
        <v>521</v>
      </c>
      <c r="C226" s="659">
        <v>80101706</v>
      </c>
      <c r="D226" s="660" t="s">
        <v>522</v>
      </c>
      <c r="E226" s="759" t="s">
        <v>48</v>
      </c>
      <c r="F226" s="759">
        <v>1</v>
      </c>
      <c r="G226" s="661" t="s">
        <v>73</v>
      </c>
      <c r="H226" s="662">
        <v>7</v>
      </c>
      <c r="I226" s="759" t="s">
        <v>61</v>
      </c>
      <c r="J226" s="759" t="s">
        <v>66</v>
      </c>
      <c r="K226" s="759" t="s">
        <v>610</v>
      </c>
      <c r="L226" s="663">
        <v>59500000</v>
      </c>
      <c r="M226" s="664">
        <f t="shared" si="30"/>
        <v>59500000</v>
      </c>
      <c r="N226" s="759" t="s">
        <v>51</v>
      </c>
      <c r="O226" s="759" t="s">
        <v>36</v>
      </c>
      <c r="P226" s="759" t="s">
        <v>523</v>
      </c>
      <c r="Q226" s="80"/>
      <c r="R226" s="665" t="s">
        <v>1151</v>
      </c>
      <c r="S226" s="665" t="s">
        <v>1152</v>
      </c>
      <c r="T226" s="691">
        <v>43111</v>
      </c>
      <c r="U226" s="665" t="s">
        <v>1153</v>
      </c>
      <c r="V226" s="665" t="s">
        <v>672</v>
      </c>
      <c r="W226" s="692">
        <v>59500000</v>
      </c>
      <c r="X226" s="692">
        <v>0</v>
      </c>
      <c r="Y226" s="692">
        <v>59500000</v>
      </c>
      <c r="Z226" s="692">
        <v>59500000</v>
      </c>
      <c r="AA226" s="665" t="s">
        <v>1154</v>
      </c>
      <c r="AB226" s="665" t="s">
        <v>1382</v>
      </c>
      <c r="AC226" s="665" t="s">
        <v>1155</v>
      </c>
      <c r="AD226" s="691">
        <v>43122</v>
      </c>
      <c r="AE226" s="691">
        <v>43333</v>
      </c>
      <c r="AF226" s="665" t="s">
        <v>804</v>
      </c>
      <c r="AG226" s="665" t="s">
        <v>805</v>
      </c>
    </row>
    <row r="227" spans="1:33" ht="114" customHeight="1" x14ac:dyDescent="0.25">
      <c r="A227" s="658">
        <f t="shared" si="28"/>
        <v>181</v>
      </c>
      <c r="B227" s="759" t="s">
        <v>521</v>
      </c>
      <c r="C227" s="659">
        <v>80101706</v>
      </c>
      <c r="D227" s="660" t="s">
        <v>522</v>
      </c>
      <c r="E227" s="759" t="s">
        <v>48</v>
      </c>
      <c r="F227" s="759">
        <v>1</v>
      </c>
      <c r="G227" s="661" t="s">
        <v>73</v>
      </c>
      <c r="H227" s="662">
        <v>7</v>
      </c>
      <c r="I227" s="759" t="s">
        <v>61</v>
      </c>
      <c r="J227" s="759" t="s">
        <v>66</v>
      </c>
      <c r="K227" s="759" t="s">
        <v>610</v>
      </c>
      <c r="L227" s="663">
        <v>59500000</v>
      </c>
      <c r="M227" s="664">
        <f t="shared" si="30"/>
        <v>59500000</v>
      </c>
      <c r="N227" s="759" t="s">
        <v>51</v>
      </c>
      <c r="O227" s="759" t="s">
        <v>36</v>
      </c>
      <c r="P227" s="759" t="s">
        <v>523</v>
      </c>
      <c r="Q227" s="80"/>
      <c r="R227" s="665" t="s">
        <v>1156</v>
      </c>
      <c r="S227" s="665" t="s">
        <v>1157</v>
      </c>
      <c r="T227" s="691">
        <v>43115</v>
      </c>
      <c r="U227" s="665" t="s">
        <v>1153</v>
      </c>
      <c r="V227" s="665" t="s">
        <v>672</v>
      </c>
      <c r="W227" s="692">
        <v>59500000</v>
      </c>
      <c r="X227" s="692">
        <v>0</v>
      </c>
      <c r="Y227" s="692">
        <v>59500000</v>
      </c>
      <c r="Z227" s="692">
        <v>59500000</v>
      </c>
      <c r="AA227" s="665" t="s">
        <v>1154</v>
      </c>
      <c r="AB227" s="665" t="s">
        <v>1383</v>
      </c>
      <c r="AC227" s="665" t="s">
        <v>1155</v>
      </c>
      <c r="AD227" s="691">
        <v>43122</v>
      </c>
      <c r="AE227" s="691">
        <v>43333</v>
      </c>
      <c r="AF227" s="665" t="s">
        <v>804</v>
      </c>
      <c r="AG227" s="665" t="s">
        <v>805</v>
      </c>
    </row>
    <row r="228" spans="1:33" ht="114" customHeight="1" x14ac:dyDescent="0.25">
      <c r="A228" s="658">
        <f t="shared" si="28"/>
        <v>182</v>
      </c>
      <c r="B228" s="759" t="s">
        <v>521</v>
      </c>
      <c r="C228" s="659">
        <v>80101706</v>
      </c>
      <c r="D228" s="660" t="s">
        <v>522</v>
      </c>
      <c r="E228" s="759" t="s">
        <v>48</v>
      </c>
      <c r="F228" s="759">
        <v>1</v>
      </c>
      <c r="G228" s="661" t="s">
        <v>73</v>
      </c>
      <c r="H228" s="662">
        <v>7</v>
      </c>
      <c r="I228" s="759" t="s">
        <v>61</v>
      </c>
      <c r="J228" s="759" t="s">
        <v>66</v>
      </c>
      <c r="K228" s="759" t="s">
        <v>610</v>
      </c>
      <c r="L228" s="663">
        <v>59500000</v>
      </c>
      <c r="M228" s="664">
        <f t="shared" si="30"/>
        <v>59500000</v>
      </c>
      <c r="N228" s="759" t="s">
        <v>51</v>
      </c>
      <c r="O228" s="759" t="s">
        <v>36</v>
      </c>
      <c r="P228" s="759" t="s">
        <v>523</v>
      </c>
      <c r="Q228" s="80"/>
      <c r="R228" s="665" t="s">
        <v>1158</v>
      </c>
      <c r="S228" s="665" t="s">
        <v>1159</v>
      </c>
      <c r="T228" s="691">
        <v>43111</v>
      </c>
      <c r="U228" s="665" t="s">
        <v>1153</v>
      </c>
      <c r="V228" s="665" t="s">
        <v>672</v>
      </c>
      <c r="W228" s="692">
        <v>59500000</v>
      </c>
      <c r="X228" s="692">
        <v>0</v>
      </c>
      <c r="Y228" s="692">
        <v>59500000</v>
      </c>
      <c r="Z228" s="692">
        <v>59500000</v>
      </c>
      <c r="AA228" s="665" t="s">
        <v>1154</v>
      </c>
      <c r="AB228" s="665" t="s">
        <v>1384</v>
      </c>
      <c r="AC228" s="665" t="s">
        <v>1155</v>
      </c>
      <c r="AD228" s="691">
        <v>43122</v>
      </c>
      <c r="AE228" s="691">
        <v>43333</v>
      </c>
      <c r="AF228" s="665" t="s">
        <v>804</v>
      </c>
      <c r="AG228" s="665" t="s">
        <v>805</v>
      </c>
    </row>
    <row r="229" spans="1:33" ht="114" customHeight="1" x14ac:dyDescent="0.25">
      <c r="A229" s="658">
        <f t="shared" si="28"/>
        <v>183</v>
      </c>
      <c r="B229" s="759" t="s">
        <v>521</v>
      </c>
      <c r="C229" s="659">
        <v>80101706</v>
      </c>
      <c r="D229" s="660" t="s">
        <v>522</v>
      </c>
      <c r="E229" s="759" t="s">
        <v>48</v>
      </c>
      <c r="F229" s="759">
        <v>1</v>
      </c>
      <c r="G229" s="661" t="s">
        <v>73</v>
      </c>
      <c r="H229" s="662">
        <v>7</v>
      </c>
      <c r="I229" s="759" t="s">
        <v>61</v>
      </c>
      <c r="J229" s="759" t="s">
        <v>66</v>
      </c>
      <c r="K229" s="759" t="s">
        <v>610</v>
      </c>
      <c r="L229" s="663">
        <v>59500000</v>
      </c>
      <c r="M229" s="664">
        <f t="shared" si="30"/>
        <v>59500000</v>
      </c>
      <c r="N229" s="759" t="s">
        <v>51</v>
      </c>
      <c r="O229" s="759" t="s">
        <v>36</v>
      </c>
      <c r="P229" s="759" t="s">
        <v>523</v>
      </c>
      <c r="Q229" s="80"/>
      <c r="R229" s="665" t="s">
        <v>1160</v>
      </c>
      <c r="S229" s="665" t="s">
        <v>1161</v>
      </c>
      <c r="T229" s="691">
        <v>43125</v>
      </c>
      <c r="U229" s="665" t="s">
        <v>1162</v>
      </c>
      <c r="V229" s="665" t="s">
        <v>672</v>
      </c>
      <c r="W229" s="692">
        <v>59500000</v>
      </c>
      <c r="X229" s="692">
        <v>0</v>
      </c>
      <c r="Y229" s="692">
        <v>59500000</v>
      </c>
      <c r="Z229" s="692">
        <v>59500000</v>
      </c>
      <c r="AA229" s="665" t="s">
        <v>1163</v>
      </c>
      <c r="AB229" s="665" t="s">
        <v>1385</v>
      </c>
      <c r="AC229" s="665" t="s">
        <v>1116</v>
      </c>
      <c r="AD229" s="691">
        <v>43126</v>
      </c>
      <c r="AE229" s="691">
        <v>43337</v>
      </c>
      <c r="AF229" s="665" t="s">
        <v>1068</v>
      </c>
      <c r="AG229" s="665" t="s">
        <v>805</v>
      </c>
    </row>
    <row r="230" spans="1:33" ht="114" customHeight="1" x14ac:dyDescent="0.25">
      <c r="A230" s="658">
        <f t="shared" si="28"/>
        <v>184</v>
      </c>
      <c r="B230" s="759" t="s">
        <v>521</v>
      </c>
      <c r="C230" s="659">
        <v>80101706</v>
      </c>
      <c r="D230" s="660" t="s">
        <v>522</v>
      </c>
      <c r="E230" s="759" t="s">
        <v>48</v>
      </c>
      <c r="F230" s="759">
        <v>1</v>
      </c>
      <c r="G230" s="661" t="s">
        <v>73</v>
      </c>
      <c r="H230" s="662">
        <v>7</v>
      </c>
      <c r="I230" s="759" t="s">
        <v>61</v>
      </c>
      <c r="J230" s="759" t="s">
        <v>66</v>
      </c>
      <c r="K230" s="759" t="s">
        <v>610</v>
      </c>
      <c r="L230" s="663">
        <v>59500000</v>
      </c>
      <c r="M230" s="664">
        <f t="shared" si="30"/>
        <v>59500000</v>
      </c>
      <c r="N230" s="759" t="s">
        <v>51</v>
      </c>
      <c r="O230" s="759" t="s">
        <v>36</v>
      </c>
      <c r="P230" s="759" t="s">
        <v>523</v>
      </c>
      <c r="Q230" s="80"/>
      <c r="R230" s="665" t="s">
        <v>1164</v>
      </c>
      <c r="S230" s="665" t="s">
        <v>1165</v>
      </c>
      <c r="T230" s="691">
        <v>43115</v>
      </c>
      <c r="U230" s="665" t="s">
        <v>1153</v>
      </c>
      <c r="V230" s="665" t="s">
        <v>672</v>
      </c>
      <c r="W230" s="692">
        <v>59500000</v>
      </c>
      <c r="X230" s="692">
        <v>0</v>
      </c>
      <c r="Y230" s="692">
        <v>59500000</v>
      </c>
      <c r="Z230" s="692">
        <v>59500000</v>
      </c>
      <c r="AA230" s="665" t="s">
        <v>1154</v>
      </c>
      <c r="AB230" s="665" t="s">
        <v>1386</v>
      </c>
      <c r="AC230" s="665" t="s">
        <v>1155</v>
      </c>
      <c r="AD230" s="691">
        <v>43122</v>
      </c>
      <c r="AE230" s="691">
        <v>43333</v>
      </c>
      <c r="AF230" s="665" t="s">
        <v>804</v>
      </c>
      <c r="AG230" s="665" t="s">
        <v>805</v>
      </c>
    </row>
    <row r="231" spans="1:33" ht="114" customHeight="1" x14ac:dyDescent="0.25">
      <c r="A231" s="658">
        <f t="shared" si="28"/>
        <v>185</v>
      </c>
      <c r="B231" s="759" t="s">
        <v>521</v>
      </c>
      <c r="C231" s="659">
        <v>80101706</v>
      </c>
      <c r="D231" s="660" t="s">
        <v>522</v>
      </c>
      <c r="E231" s="759" t="s">
        <v>48</v>
      </c>
      <c r="F231" s="759">
        <v>1</v>
      </c>
      <c r="G231" s="661" t="s">
        <v>73</v>
      </c>
      <c r="H231" s="662">
        <v>7</v>
      </c>
      <c r="I231" s="759" t="s">
        <v>61</v>
      </c>
      <c r="J231" s="759" t="s">
        <v>66</v>
      </c>
      <c r="K231" s="759" t="s">
        <v>610</v>
      </c>
      <c r="L231" s="663">
        <v>59500000</v>
      </c>
      <c r="M231" s="664">
        <f t="shared" si="30"/>
        <v>59500000</v>
      </c>
      <c r="N231" s="759" t="s">
        <v>51</v>
      </c>
      <c r="O231" s="759" t="s">
        <v>36</v>
      </c>
      <c r="P231" s="759" t="s">
        <v>523</v>
      </c>
      <c r="Q231" s="80"/>
      <c r="R231" s="665" t="s">
        <v>1166</v>
      </c>
      <c r="S231" s="665" t="s">
        <v>1167</v>
      </c>
      <c r="T231" s="691">
        <v>43111</v>
      </c>
      <c r="U231" s="665" t="s">
        <v>1153</v>
      </c>
      <c r="V231" s="665" t="s">
        <v>672</v>
      </c>
      <c r="W231" s="692">
        <v>59500000</v>
      </c>
      <c r="X231" s="692">
        <v>0</v>
      </c>
      <c r="Y231" s="692">
        <v>59500000</v>
      </c>
      <c r="Z231" s="692">
        <v>59500000</v>
      </c>
      <c r="AA231" s="665" t="s">
        <v>1154</v>
      </c>
      <c r="AB231" s="665" t="s">
        <v>1387</v>
      </c>
      <c r="AC231" s="665" t="s">
        <v>1155</v>
      </c>
      <c r="AD231" s="691">
        <v>43122</v>
      </c>
      <c r="AE231" s="691">
        <v>43333</v>
      </c>
      <c r="AF231" s="665" t="s">
        <v>804</v>
      </c>
      <c r="AG231" s="665" t="s">
        <v>805</v>
      </c>
    </row>
    <row r="232" spans="1:33" ht="114" customHeight="1" x14ac:dyDescent="0.25">
      <c r="A232" s="658">
        <f t="shared" si="28"/>
        <v>186</v>
      </c>
      <c r="B232" s="759" t="s">
        <v>521</v>
      </c>
      <c r="C232" s="659">
        <v>80101706</v>
      </c>
      <c r="D232" s="660" t="s">
        <v>522</v>
      </c>
      <c r="E232" s="759" t="s">
        <v>48</v>
      </c>
      <c r="F232" s="759">
        <v>1</v>
      </c>
      <c r="G232" s="661" t="s">
        <v>73</v>
      </c>
      <c r="H232" s="662">
        <v>7</v>
      </c>
      <c r="I232" s="759" t="s">
        <v>61</v>
      </c>
      <c r="J232" s="759" t="s">
        <v>66</v>
      </c>
      <c r="K232" s="759" t="s">
        <v>610</v>
      </c>
      <c r="L232" s="663">
        <v>59500000</v>
      </c>
      <c r="M232" s="664">
        <f t="shared" si="30"/>
        <v>59500000</v>
      </c>
      <c r="N232" s="759" t="s">
        <v>51</v>
      </c>
      <c r="O232" s="759" t="s">
        <v>36</v>
      </c>
      <c r="P232" s="759" t="s">
        <v>523</v>
      </c>
      <c r="Q232" s="80"/>
      <c r="R232" s="665" t="s">
        <v>1168</v>
      </c>
      <c r="S232" s="665" t="s">
        <v>1169</v>
      </c>
      <c r="T232" s="691">
        <v>43111</v>
      </c>
      <c r="U232" s="665" t="s">
        <v>1153</v>
      </c>
      <c r="V232" s="665" t="s">
        <v>672</v>
      </c>
      <c r="W232" s="692">
        <v>59500000</v>
      </c>
      <c r="X232" s="692">
        <v>0</v>
      </c>
      <c r="Y232" s="692">
        <v>59500000</v>
      </c>
      <c r="Z232" s="692">
        <v>59500000</v>
      </c>
      <c r="AA232" s="665" t="s">
        <v>1154</v>
      </c>
      <c r="AB232" s="665" t="s">
        <v>1388</v>
      </c>
      <c r="AC232" s="665" t="s">
        <v>1155</v>
      </c>
      <c r="AD232" s="691">
        <v>43122</v>
      </c>
      <c r="AE232" s="691">
        <v>43333</v>
      </c>
      <c r="AF232" s="665" t="s">
        <v>804</v>
      </c>
      <c r="AG232" s="665" t="s">
        <v>805</v>
      </c>
    </row>
    <row r="233" spans="1:33" ht="114" customHeight="1" x14ac:dyDescent="0.25">
      <c r="A233" s="658">
        <f t="shared" si="28"/>
        <v>187</v>
      </c>
      <c r="B233" s="759" t="s">
        <v>521</v>
      </c>
      <c r="C233" s="659">
        <v>80101706</v>
      </c>
      <c r="D233" s="660" t="s">
        <v>522</v>
      </c>
      <c r="E233" s="759" t="s">
        <v>48</v>
      </c>
      <c r="F233" s="759">
        <v>1</v>
      </c>
      <c r="G233" s="661" t="s">
        <v>73</v>
      </c>
      <c r="H233" s="662">
        <v>7</v>
      </c>
      <c r="I233" s="759" t="s">
        <v>61</v>
      </c>
      <c r="J233" s="759" t="s">
        <v>66</v>
      </c>
      <c r="K233" s="759" t="s">
        <v>610</v>
      </c>
      <c r="L233" s="663">
        <v>59500000</v>
      </c>
      <c r="M233" s="664">
        <f t="shared" si="30"/>
        <v>59500000</v>
      </c>
      <c r="N233" s="759" t="s">
        <v>51</v>
      </c>
      <c r="O233" s="759" t="s">
        <v>36</v>
      </c>
      <c r="P233" s="759" t="s">
        <v>523</v>
      </c>
      <c r="Q233" s="80"/>
      <c r="R233" s="665" t="s">
        <v>1170</v>
      </c>
      <c r="S233" s="665" t="s">
        <v>1171</v>
      </c>
      <c r="T233" s="691">
        <v>43111</v>
      </c>
      <c r="U233" s="665" t="s">
        <v>1153</v>
      </c>
      <c r="V233" s="665" t="s">
        <v>672</v>
      </c>
      <c r="W233" s="692">
        <v>59500000</v>
      </c>
      <c r="X233" s="692">
        <v>0</v>
      </c>
      <c r="Y233" s="692">
        <v>59500000</v>
      </c>
      <c r="Z233" s="692">
        <v>59500000</v>
      </c>
      <c r="AA233" s="665" t="s">
        <v>1154</v>
      </c>
      <c r="AB233" s="665" t="s">
        <v>1389</v>
      </c>
      <c r="AC233" s="665" t="s">
        <v>1155</v>
      </c>
      <c r="AD233" s="691">
        <v>43122</v>
      </c>
      <c r="AE233" s="691">
        <v>43333</v>
      </c>
      <c r="AF233" s="665" t="s">
        <v>804</v>
      </c>
      <c r="AG233" s="665" t="s">
        <v>805</v>
      </c>
    </row>
    <row r="234" spans="1:33" ht="114" customHeight="1" x14ac:dyDescent="0.25">
      <c r="A234" s="658">
        <f t="shared" si="28"/>
        <v>188</v>
      </c>
      <c r="B234" s="759" t="s">
        <v>521</v>
      </c>
      <c r="C234" s="659">
        <v>80101706</v>
      </c>
      <c r="D234" s="660" t="s">
        <v>522</v>
      </c>
      <c r="E234" s="759" t="s">
        <v>48</v>
      </c>
      <c r="F234" s="759">
        <v>1</v>
      </c>
      <c r="G234" s="661" t="s">
        <v>73</v>
      </c>
      <c r="H234" s="662">
        <v>7</v>
      </c>
      <c r="I234" s="759" t="s">
        <v>61</v>
      </c>
      <c r="J234" s="759" t="s">
        <v>66</v>
      </c>
      <c r="K234" s="759" t="s">
        <v>610</v>
      </c>
      <c r="L234" s="663">
        <v>59500000</v>
      </c>
      <c r="M234" s="664">
        <f t="shared" si="30"/>
        <v>59500000</v>
      </c>
      <c r="N234" s="759" t="s">
        <v>51</v>
      </c>
      <c r="O234" s="759" t="s">
        <v>36</v>
      </c>
      <c r="P234" s="759" t="s">
        <v>523</v>
      </c>
      <c r="Q234" s="80"/>
      <c r="R234" s="665" t="s">
        <v>1172</v>
      </c>
      <c r="S234" s="665" t="s">
        <v>1173</v>
      </c>
      <c r="T234" s="691">
        <v>43111</v>
      </c>
      <c r="U234" s="665" t="s">
        <v>1153</v>
      </c>
      <c r="V234" s="665" t="s">
        <v>672</v>
      </c>
      <c r="W234" s="692">
        <v>59500000</v>
      </c>
      <c r="X234" s="692">
        <v>0</v>
      </c>
      <c r="Y234" s="692">
        <v>59500000</v>
      </c>
      <c r="Z234" s="692">
        <v>59500000</v>
      </c>
      <c r="AA234" s="665" t="s">
        <v>1154</v>
      </c>
      <c r="AB234" s="665" t="s">
        <v>1390</v>
      </c>
      <c r="AC234" s="665" t="s">
        <v>1155</v>
      </c>
      <c r="AD234" s="691">
        <v>43122</v>
      </c>
      <c r="AE234" s="691">
        <v>43333</v>
      </c>
      <c r="AF234" s="665" t="s">
        <v>804</v>
      </c>
      <c r="AG234" s="665" t="s">
        <v>805</v>
      </c>
    </row>
    <row r="235" spans="1:33" ht="114" customHeight="1" x14ac:dyDescent="0.25">
      <c r="A235" s="658">
        <f t="shared" si="28"/>
        <v>189</v>
      </c>
      <c r="B235" s="759" t="s">
        <v>521</v>
      </c>
      <c r="C235" s="659">
        <v>80101706</v>
      </c>
      <c r="D235" s="660" t="s">
        <v>522</v>
      </c>
      <c r="E235" s="759" t="s">
        <v>48</v>
      </c>
      <c r="F235" s="759">
        <v>1</v>
      </c>
      <c r="G235" s="661" t="s">
        <v>73</v>
      </c>
      <c r="H235" s="662">
        <v>7</v>
      </c>
      <c r="I235" s="759" t="s">
        <v>61</v>
      </c>
      <c r="J235" s="759" t="s">
        <v>66</v>
      </c>
      <c r="K235" s="759" t="s">
        <v>610</v>
      </c>
      <c r="L235" s="663">
        <v>59500000</v>
      </c>
      <c r="M235" s="664">
        <f t="shared" si="30"/>
        <v>59500000</v>
      </c>
      <c r="N235" s="759" t="s">
        <v>51</v>
      </c>
      <c r="O235" s="759" t="s">
        <v>36</v>
      </c>
      <c r="P235" s="759" t="s">
        <v>523</v>
      </c>
      <c r="Q235" s="80"/>
      <c r="R235" s="665" t="s">
        <v>1174</v>
      </c>
      <c r="S235" s="665" t="s">
        <v>1175</v>
      </c>
      <c r="T235" s="691">
        <v>43115</v>
      </c>
      <c r="U235" s="665" t="s">
        <v>1153</v>
      </c>
      <c r="V235" s="665" t="s">
        <v>672</v>
      </c>
      <c r="W235" s="692">
        <v>59500000</v>
      </c>
      <c r="X235" s="692">
        <v>0</v>
      </c>
      <c r="Y235" s="692">
        <v>59500000</v>
      </c>
      <c r="Z235" s="692">
        <v>59500000</v>
      </c>
      <c r="AA235" s="665" t="s">
        <v>1154</v>
      </c>
      <c r="AB235" s="665" t="s">
        <v>1391</v>
      </c>
      <c r="AC235" s="665" t="s">
        <v>1155</v>
      </c>
      <c r="AD235" s="691">
        <v>43122</v>
      </c>
      <c r="AE235" s="691">
        <v>43333</v>
      </c>
      <c r="AF235" s="665" t="s">
        <v>804</v>
      </c>
      <c r="AG235" s="665" t="s">
        <v>805</v>
      </c>
    </row>
    <row r="236" spans="1:33" ht="114" customHeight="1" x14ac:dyDescent="0.25">
      <c r="A236" s="658">
        <f t="shared" si="28"/>
        <v>190</v>
      </c>
      <c r="B236" s="759" t="s">
        <v>521</v>
      </c>
      <c r="C236" s="659">
        <v>80101706</v>
      </c>
      <c r="D236" s="660" t="s">
        <v>522</v>
      </c>
      <c r="E236" s="759" t="s">
        <v>48</v>
      </c>
      <c r="F236" s="759">
        <v>1</v>
      </c>
      <c r="G236" s="661" t="s">
        <v>73</v>
      </c>
      <c r="H236" s="662">
        <v>7</v>
      </c>
      <c r="I236" s="759" t="s">
        <v>61</v>
      </c>
      <c r="J236" s="759" t="s">
        <v>66</v>
      </c>
      <c r="K236" s="759" t="s">
        <v>610</v>
      </c>
      <c r="L236" s="663">
        <v>59500000</v>
      </c>
      <c r="M236" s="664">
        <f t="shared" si="30"/>
        <v>59500000</v>
      </c>
      <c r="N236" s="759" t="s">
        <v>51</v>
      </c>
      <c r="O236" s="759" t="s">
        <v>36</v>
      </c>
      <c r="P236" s="759" t="s">
        <v>523</v>
      </c>
      <c r="Q236" s="80"/>
      <c r="R236" s="665" t="s">
        <v>1176</v>
      </c>
      <c r="S236" s="665" t="s">
        <v>1177</v>
      </c>
      <c r="T236" s="691">
        <v>43115</v>
      </c>
      <c r="U236" s="665" t="s">
        <v>1153</v>
      </c>
      <c r="V236" s="665" t="s">
        <v>672</v>
      </c>
      <c r="W236" s="692">
        <v>59500000</v>
      </c>
      <c r="X236" s="692">
        <v>0</v>
      </c>
      <c r="Y236" s="692">
        <v>59500000</v>
      </c>
      <c r="Z236" s="692">
        <v>59500000</v>
      </c>
      <c r="AA236" s="665" t="s">
        <v>1154</v>
      </c>
      <c r="AB236" s="665" t="s">
        <v>1392</v>
      </c>
      <c r="AC236" s="665" t="s">
        <v>1155</v>
      </c>
      <c r="AD236" s="691">
        <v>43122</v>
      </c>
      <c r="AE236" s="691">
        <v>43333</v>
      </c>
      <c r="AF236" s="665" t="s">
        <v>804</v>
      </c>
      <c r="AG236" s="665" t="s">
        <v>805</v>
      </c>
    </row>
    <row r="237" spans="1:33" ht="114" customHeight="1" x14ac:dyDescent="0.25">
      <c r="A237" s="658">
        <f t="shared" si="28"/>
        <v>191</v>
      </c>
      <c r="B237" s="759" t="s">
        <v>521</v>
      </c>
      <c r="C237" s="659">
        <v>80101706</v>
      </c>
      <c r="D237" s="660" t="s">
        <v>522</v>
      </c>
      <c r="E237" s="759" t="s">
        <v>48</v>
      </c>
      <c r="F237" s="759">
        <v>1</v>
      </c>
      <c r="G237" s="661" t="s">
        <v>73</v>
      </c>
      <c r="H237" s="662">
        <v>7</v>
      </c>
      <c r="I237" s="759" t="s">
        <v>61</v>
      </c>
      <c r="J237" s="759" t="s">
        <v>66</v>
      </c>
      <c r="K237" s="759" t="s">
        <v>610</v>
      </c>
      <c r="L237" s="663">
        <v>59500000</v>
      </c>
      <c r="M237" s="664">
        <f t="shared" si="30"/>
        <v>59500000</v>
      </c>
      <c r="N237" s="759" t="s">
        <v>51</v>
      </c>
      <c r="O237" s="759" t="s">
        <v>36</v>
      </c>
      <c r="P237" s="759" t="s">
        <v>523</v>
      </c>
      <c r="Q237" s="80"/>
      <c r="R237" s="665" t="s">
        <v>1178</v>
      </c>
      <c r="S237" s="665" t="s">
        <v>1179</v>
      </c>
      <c r="T237" s="691">
        <v>43115</v>
      </c>
      <c r="U237" s="665" t="s">
        <v>1153</v>
      </c>
      <c r="V237" s="665" t="s">
        <v>672</v>
      </c>
      <c r="W237" s="692">
        <v>59500000</v>
      </c>
      <c r="X237" s="692">
        <v>0</v>
      </c>
      <c r="Y237" s="692">
        <v>59500000</v>
      </c>
      <c r="Z237" s="692">
        <v>59500000</v>
      </c>
      <c r="AA237" s="665" t="s">
        <v>1154</v>
      </c>
      <c r="AB237" s="665" t="s">
        <v>1393</v>
      </c>
      <c r="AC237" s="665" t="s">
        <v>1155</v>
      </c>
      <c r="AD237" s="691">
        <v>43122</v>
      </c>
      <c r="AE237" s="691">
        <v>43333</v>
      </c>
      <c r="AF237" s="665" t="s">
        <v>804</v>
      </c>
      <c r="AG237" s="665" t="s">
        <v>805</v>
      </c>
    </row>
    <row r="238" spans="1:33" ht="114" customHeight="1" x14ac:dyDescent="0.25">
      <c r="A238" s="658">
        <f t="shared" si="28"/>
        <v>192</v>
      </c>
      <c r="B238" s="759" t="s">
        <v>521</v>
      </c>
      <c r="C238" s="659">
        <v>80101706</v>
      </c>
      <c r="D238" s="660" t="s">
        <v>522</v>
      </c>
      <c r="E238" s="759" t="s">
        <v>48</v>
      </c>
      <c r="F238" s="759">
        <v>1</v>
      </c>
      <c r="G238" s="661" t="s">
        <v>73</v>
      </c>
      <c r="H238" s="662">
        <v>7</v>
      </c>
      <c r="I238" s="759" t="s">
        <v>61</v>
      </c>
      <c r="J238" s="759" t="s">
        <v>66</v>
      </c>
      <c r="K238" s="759" t="s">
        <v>610</v>
      </c>
      <c r="L238" s="663">
        <v>59500000</v>
      </c>
      <c r="M238" s="664">
        <f t="shared" si="30"/>
        <v>59500000</v>
      </c>
      <c r="N238" s="759" t="s">
        <v>51</v>
      </c>
      <c r="O238" s="759" t="s">
        <v>36</v>
      </c>
      <c r="P238" s="759" t="s">
        <v>523</v>
      </c>
      <c r="Q238" s="80"/>
      <c r="R238" s="665" t="s">
        <v>1180</v>
      </c>
      <c r="S238" s="665" t="s">
        <v>1181</v>
      </c>
      <c r="T238" s="691">
        <v>43115</v>
      </c>
      <c r="U238" s="665" t="s">
        <v>1153</v>
      </c>
      <c r="V238" s="665" t="s">
        <v>672</v>
      </c>
      <c r="W238" s="692">
        <v>59500000</v>
      </c>
      <c r="X238" s="692">
        <v>0</v>
      </c>
      <c r="Y238" s="692">
        <v>59500000</v>
      </c>
      <c r="Z238" s="692">
        <v>59500000</v>
      </c>
      <c r="AA238" s="665" t="s">
        <v>1154</v>
      </c>
      <c r="AB238" s="665" t="s">
        <v>1394</v>
      </c>
      <c r="AC238" s="665" t="s">
        <v>1155</v>
      </c>
      <c r="AD238" s="691">
        <v>43122</v>
      </c>
      <c r="AE238" s="691">
        <v>43333</v>
      </c>
      <c r="AF238" s="665" t="s">
        <v>804</v>
      </c>
      <c r="AG238" s="665" t="s">
        <v>805</v>
      </c>
    </row>
    <row r="239" spans="1:33" ht="114" customHeight="1" x14ac:dyDescent="0.25">
      <c r="A239" s="658">
        <f t="shared" si="28"/>
        <v>193</v>
      </c>
      <c r="B239" s="759" t="s">
        <v>521</v>
      </c>
      <c r="C239" s="659">
        <v>80101706</v>
      </c>
      <c r="D239" s="660" t="s">
        <v>522</v>
      </c>
      <c r="E239" s="759" t="s">
        <v>48</v>
      </c>
      <c r="F239" s="759">
        <v>1</v>
      </c>
      <c r="G239" s="661" t="s">
        <v>73</v>
      </c>
      <c r="H239" s="662">
        <v>7</v>
      </c>
      <c r="I239" s="759" t="s">
        <v>61</v>
      </c>
      <c r="J239" s="759" t="s">
        <v>66</v>
      </c>
      <c r="K239" s="759" t="s">
        <v>610</v>
      </c>
      <c r="L239" s="663">
        <v>59500000</v>
      </c>
      <c r="M239" s="664">
        <f t="shared" si="30"/>
        <v>59500000</v>
      </c>
      <c r="N239" s="759" t="s">
        <v>51</v>
      </c>
      <c r="O239" s="759" t="s">
        <v>36</v>
      </c>
      <c r="P239" s="759" t="s">
        <v>523</v>
      </c>
      <c r="Q239" s="80"/>
      <c r="R239" s="665" t="s">
        <v>1182</v>
      </c>
      <c r="S239" s="665" t="s">
        <v>1183</v>
      </c>
      <c r="T239" s="691">
        <v>43115</v>
      </c>
      <c r="U239" s="665" t="s">
        <v>1153</v>
      </c>
      <c r="V239" s="665" t="s">
        <v>672</v>
      </c>
      <c r="W239" s="692">
        <v>59500000</v>
      </c>
      <c r="X239" s="692">
        <v>0</v>
      </c>
      <c r="Y239" s="692">
        <v>59500000</v>
      </c>
      <c r="Z239" s="692">
        <v>59500000</v>
      </c>
      <c r="AA239" s="665" t="s">
        <v>1154</v>
      </c>
      <c r="AB239" s="665" t="s">
        <v>1395</v>
      </c>
      <c r="AC239" s="665" t="s">
        <v>1155</v>
      </c>
      <c r="AD239" s="691">
        <v>43122</v>
      </c>
      <c r="AE239" s="691">
        <v>43333</v>
      </c>
      <c r="AF239" s="665" t="s">
        <v>804</v>
      </c>
      <c r="AG239" s="665" t="s">
        <v>805</v>
      </c>
    </row>
    <row r="240" spans="1:33" ht="114" customHeight="1" x14ac:dyDescent="0.25">
      <c r="A240" s="658">
        <f t="shared" si="28"/>
        <v>194</v>
      </c>
      <c r="B240" s="759" t="s">
        <v>521</v>
      </c>
      <c r="C240" s="659">
        <v>80101706</v>
      </c>
      <c r="D240" s="660" t="s">
        <v>522</v>
      </c>
      <c r="E240" s="759" t="s">
        <v>48</v>
      </c>
      <c r="F240" s="759">
        <v>1</v>
      </c>
      <c r="G240" s="661" t="s">
        <v>73</v>
      </c>
      <c r="H240" s="662">
        <v>7</v>
      </c>
      <c r="I240" s="759" t="s">
        <v>61</v>
      </c>
      <c r="J240" s="759" t="s">
        <v>66</v>
      </c>
      <c r="K240" s="759" t="s">
        <v>610</v>
      </c>
      <c r="L240" s="663">
        <v>59500000</v>
      </c>
      <c r="M240" s="664">
        <f t="shared" si="30"/>
        <v>59500000</v>
      </c>
      <c r="N240" s="759" t="s">
        <v>51</v>
      </c>
      <c r="O240" s="759" t="s">
        <v>36</v>
      </c>
      <c r="P240" s="759" t="s">
        <v>523</v>
      </c>
      <c r="Q240" s="80"/>
      <c r="R240" s="665" t="s">
        <v>1184</v>
      </c>
      <c r="S240" s="665" t="s">
        <v>1185</v>
      </c>
      <c r="T240" s="691">
        <v>43111</v>
      </c>
      <c r="U240" s="665" t="s">
        <v>1153</v>
      </c>
      <c r="V240" s="665" t="s">
        <v>672</v>
      </c>
      <c r="W240" s="692">
        <v>59500000</v>
      </c>
      <c r="X240" s="692">
        <v>0</v>
      </c>
      <c r="Y240" s="692">
        <v>59500000</v>
      </c>
      <c r="Z240" s="692">
        <v>59500000</v>
      </c>
      <c r="AA240" s="665" t="s">
        <v>1154</v>
      </c>
      <c r="AB240" s="665" t="s">
        <v>1396</v>
      </c>
      <c r="AC240" s="665" t="s">
        <v>1155</v>
      </c>
      <c r="AD240" s="691">
        <v>43122</v>
      </c>
      <c r="AE240" s="691">
        <v>43333</v>
      </c>
      <c r="AF240" s="665" t="s">
        <v>804</v>
      </c>
      <c r="AG240" s="665" t="s">
        <v>805</v>
      </c>
    </row>
    <row r="241" spans="1:33" ht="114" customHeight="1" x14ac:dyDescent="0.25">
      <c r="A241" s="658">
        <f t="shared" si="28"/>
        <v>195</v>
      </c>
      <c r="B241" s="759" t="s">
        <v>521</v>
      </c>
      <c r="C241" s="659">
        <v>80101706</v>
      </c>
      <c r="D241" s="660" t="s">
        <v>522</v>
      </c>
      <c r="E241" s="759" t="s">
        <v>48</v>
      </c>
      <c r="F241" s="759">
        <v>1</v>
      </c>
      <c r="G241" s="661" t="s">
        <v>73</v>
      </c>
      <c r="H241" s="662">
        <v>7</v>
      </c>
      <c r="I241" s="759" t="s">
        <v>61</v>
      </c>
      <c r="J241" s="759" t="s">
        <v>66</v>
      </c>
      <c r="K241" s="759" t="s">
        <v>610</v>
      </c>
      <c r="L241" s="663">
        <v>59500000</v>
      </c>
      <c r="M241" s="664">
        <f t="shared" si="30"/>
        <v>59500000</v>
      </c>
      <c r="N241" s="759" t="s">
        <v>51</v>
      </c>
      <c r="O241" s="759" t="s">
        <v>36</v>
      </c>
      <c r="P241" s="759" t="s">
        <v>523</v>
      </c>
      <c r="Q241" s="80"/>
      <c r="R241" s="665" t="s">
        <v>1186</v>
      </c>
      <c r="S241" s="665" t="s">
        <v>1187</v>
      </c>
      <c r="T241" s="691">
        <v>43117</v>
      </c>
      <c r="U241" s="665" t="s">
        <v>1153</v>
      </c>
      <c r="V241" s="665" t="s">
        <v>672</v>
      </c>
      <c r="W241" s="692">
        <v>59500000</v>
      </c>
      <c r="X241" s="692">
        <v>0</v>
      </c>
      <c r="Y241" s="692">
        <v>59500000</v>
      </c>
      <c r="Z241" s="692">
        <v>59500000</v>
      </c>
      <c r="AA241" s="665" t="s">
        <v>1154</v>
      </c>
      <c r="AB241" s="665" t="s">
        <v>1397</v>
      </c>
      <c r="AC241" s="665" t="s">
        <v>681</v>
      </c>
      <c r="AD241" s="691">
        <v>43122</v>
      </c>
      <c r="AE241" s="691">
        <v>43364</v>
      </c>
      <c r="AF241" s="665" t="s">
        <v>1068</v>
      </c>
      <c r="AG241" s="665" t="s">
        <v>805</v>
      </c>
    </row>
    <row r="242" spans="1:33" ht="114" customHeight="1" x14ac:dyDescent="0.25">
      <c r="A242" s="658">
        <f t="shared" si="28"/>
        <v>196</v>
      </c>
      <c r="B242" s="759" t="s">
        <v>521</v>
      </c>
      <c r="C242" s="659">
        <v>80101706</v>
      </c>
      <c r="D242" s="660" t="s">
        <v>522</v>
      </c>
      <c r="E242" s="759" t="s">
        <v>48</v>
      </c>
      <c r="F242" s="759">
        <v>1</v>
      </c>
      <c r="G242" s="661" t="s">
        <v>73</v>
      </c>
      <c r="H242" s="662">
        <v>7</v>
      </c>
      <c r="I242" s="759" t="s">
        <v>61</v>
      </c>
      <c r="J242" s="759" t="s">
        <v>66</v>
      </c>
      <c r="K242" s="759" t="s">
        <v>610</v>
      </c>
      <c r="L242" s="663">
        <v>59500000</v>
      </c>
      <c r="M242" s="664">
        <f t="shared" si="30"/>
        <v>59500000</v>
      </c>
      <c r="N242" s="759" t="s">
        <v>51</v>
      </c>
      <c r="O242" s="759" t="s">
        <v>36</v>
      </c>
      <c r="P242" s="759" t="s">
        <v>523</v>
      </c>
      <c r="Q242" s="80"/>
      <c r="R242" s="665" t="s">
        <v>1188</v>
      </c>
      <c r="S242" s="665" t="s">
        <v>1189</v>
      </c>
      <c r="T242" s="691">
        <v>43111</v>
      </c>
      <c r="U242" s="665" t="s">
        <v>1153</v>
      </c>
      <c r="V242" s="665" t="s">
        <v>672</v>
      </c>
      <c r="W242" s="692">
        <v>59500000</v>
      </c>
      <c r="X242" s="692">
        <v>0</v>
      </c>
      <c r="Y242" s="692">
        <v>59500000</v>
      </c>
      <c r="Z242" s="692">
        <v>59500000</v>
      </c>
      <c r="AA242" s="665" t="s">
        <v>1154</v>
      </c>
      <c r="AB242" s="665" t="s">
        <v>1398</v>
      </c>
      <c r="AC242" s="665" t="s">
        <v>1155</v>
      </c>
      <c r="AD242" s="691">
        <v>43122</v>
      </c>
      <c r="AE242" s="691">
        <v>43333</v>
      </c>
      <c r="AF242" s="665" t="s">
        <v>804</v>
      </c>
      <c r="AG242" s="665" t="s">
        <v>805</v>
      </c>
    </row>
    <row r="243" spans="1:33" ht="152.1" customHeight="1" x14ac:dyDescent="0.25">
      <c r="A243" s="658">
        <f t="shared" si="28"/>
        <v>197</v>
      </c>
      <c r="B243" s="759" t="s">
        <v>521</v>
      </c>
      <c r="C243" s="659">
        <v>80101706</v>
      </c>
      <c r="D243" s="660" t="s">
        <v>522</v>
      </c>
      <c r="E243" s="759" t="s">
        <v>48</v>
      </c>
      <c r="F243" s="759">
        <v>1</v>
      </c>
      <c r="G243" s="661" t="s">
        <v>73</v>
      </c>
      <c r="H243" s="662">
        <v>8</v>
      </c>
      <c r="I243" s="759" t="s">
        <v>61</v>
      </c>
      <c r="J243" s="759" t="s">
        <v>66</v>
      </c>
      <c r="K243" s="759" t="s">
        <v>610</v>
      </c>
      <c r="L243" s="663">
        <v>68000000</v>
      </c>
      <c r="M243" s="664">
        <f t="shared" si="30"/>
        <v>68000000</v>
      </c>
      <c r="N243" s="759" t="s">
        <v>51</v>
      </c>
      <c r="O243" s="759" t="s">
        <v>36</v>
      </c>
      <c r="P243" s="759" t="s">
        <v>523</v>
      </c>
      <c r="Q243" s="80"/>
      <c r="R243" s="665" t="s">
        <v>1190</v>
      </c>
      <c r="S243" s="665" t="s">
        <v>1191</v>
      </c>
      <c r="T243" s="691">
        <v>43116</v>
      </c>
      <c r="U243" s="665" t="s">
        <v>1192</v>
      </c>
      <c r="V243" s="665" t="s">
        <v>672</v>
      </c>
      <c r="W243" s="692">
        <v>68000000</v>
      </c>
      <c r="X243" s="692">
        <v>0</v>
      </c>
      <c r="Y243" s="692">
        <v>68000000</v>
      </c>
      <c r="Z243" s="692">
        <v>68000000</v>
      </c>
      <c r="AA243" s="665" t="s">
        <v>1193</v>
      </c>
      <c r="AB243" s="665" t="s">
        <v>1399</v>
      </c>
      <c r="AC243" s="665" t="s">
        <v>681</v>
      </c>
      <c r="AD243" s="691">
        <v>43117</v>
      </c>
      <c r="AE243" s="691">
        <v>43359</v>
      </c>
      <c r="AF243" s="665" t="s">
        <v>1068</v>
      </c>
      <c r="AG243" s="665" t="s">
        <v>805</v>
      </c>
    </row>
    <row r="244" spans="1:33" ht="95.1" customHeight="1" x14ac:dyDescent="0.25">
      <c r="A244" s="658">
        <f t="shared" si="28"/>
        <v>198</v>
      </c>
      <c r="B244" s="759" t="s">
        <v>316</v>
      </c>
      <c r="C244" s="659">
        <v>80141623</v>
      </c>
      <c r="D244" s="660" t="s">
        <v>617</v>
      </c>
      <c r="E244" s="759" t="s">
        <v>48</v>
      </c>
      <c r="F244" s="759">
        <v>1</v>
      </c>
      <c r="G244" s="661" t="s">
        <v>73</v>
      </c>
      <c r="H244" s="662" t="s">
        <v>177</v>
      </c>
      <c r="I244" s="759" t="s">
        <v>61</v>
      </c>
      <c r="J244" s="759" t="s">
        <v>35</v>
      </c>
      <c r="K244" s="759" t="s">
        <v>439</v>
      </c>
      <c r="L244" s="663">
        <v>1562484</v>
      </c>
      <c r="M244" s="664">
        <v>1562484</v>
      </c>
      <c r="N244" s="759" t="s">
        <v>51</v>
      </c>
      <c r="O244" s="759" t="s">
        <v>36</v>
      </c>
      <c r="P244" s="759" t="s">
        <v>320</v>
      </c>
      <c r="Q244" s="80"/>
      <c r="R244" s="665" t="s">
        <v>1258</v>
      </c>
      <c r="S244" s="665" t="s">
        <v>1219</v>
      </c>
      <c r="T244" s="691">
        <v>43126</v>
      </c>
      <c r="U244" s="665" t="s">
        <v>1220</v>
      </c>
      <c r="V244" s="665" t="s">
        <v>1221</v>
      </c>
      <c r="W244" s="692">
        <v>1562484</v>
      </c>
      <c r="X244" s="692">
        <v>0</v>
      </c>
      <c r="Y244" s="692"/>
      <c r="Z244" s="692"/>
      <c r="AA244" s="665" t="s">
        <v>36</v>
      </c>
      <c r="AB244" s="665" t="s">
        <v>36</v>
      </c>
      <c r="AC244" s="665" t="s">
        <v>1222</v>
      </c>
      <c r="AD244" s="691">
        <v>43126</v>
      </c>
      <c r="AE244" s="691">
        <v>43490</v>
      </c>
      <c r="AF244" s="665" t="s">
        <v>675</v>
      </c>
      <c r="AG244" s="665" t="s">
        <v>661</v>
      </c>
    </row>
    <row r="245" spans="1:33" ht="114" customHeight="1" x14ac:dyDescent="0.25">
      <c r="A245" s="658">
        <f t="shared" si="28"/>
        <v>199</v>
      </c>
      <c r="B245" s="759" t="s">
        <v>615</v>
      </c>
      <c r="C245" s="659">
        <v>80101706</v>
      </c>
      <c r="D245" s="660" t="s">
        <v>278</v>
      </c>
      <c r="E245" s="759" t="s">
        <v>48</v>
      </c>
      <c r="F245" s="759">
        <v>1</v>
      </c>
      <c r="G245" s="661" t="s">
        <v>80</v>
      </c>
      <c r="H245" s="662" t="s">
        <v>616</v>
      </c>
      <c r="I245" s="759" t="s">
        <v>61</v>
      </c>
      <c r="J245" s="759" t="s">
        <v>66</v>
      </c>
      <c r="K245" s="759" t="s">
        <v>601</v>
      </c>
      <c r="L245" s="663">
        <v>500000000</v>
      </c>
      <c r="M245" s="664">
        <v>500000000</v>
      </c>
      <c r="N245" s="759" t="s">
        <v>51</v>
      </c>
      <c r="O245" s="759" t="s">
        <v>36</v>
      </c>
      <c r="P245" s="759" t="s">
        <v>320</v>
      </c>
      <c r="Q245" s="80"/>
      <c r="R245" s="665" t="s">
        <v>1194</v>
      </c>
      <c r="S245" s="665" t="s">
        <v>1195</v>
      </c>
      <c r="T245" s="691">
        <v>43125</v>
      </c>
      <c r="U245" s="665" t="s">
        <v>1196</v>
      </c>
      <c r="V245" s="665" t="s">
        <v>657</v>
      </c>
      <c r="W245" s="692">
        <v>500000000</v>
      </c>
      <c r="X245" s="692">
        <v>0</v>
      </c>
      <c r="Y245" s="692">
        <v>500000000</v>
      </c>
      <c r="Z245" s="692">
        <v>500000000</v>
      </c>
      <c r="AA245" s="665" t="s">
        <v>1197</v>
      </c>
      <c r="AB245" s="665" t="s">
        <v>1400</v>
      </c>
      <c r="AC245" s="665" t="s">
        <v>674</v>
      </c>
      <c r="AD245" s="691">
        <v>43130</v>
      </c>
      <c r="AE245" s="691">
        <v>43462</v>
      </c>
      <c r="AF245" s="665" t="s">
        <v>1198</v>
      </c>
      <c r="AG245" s="665" t="s">
        <v>661</v>
      </c>
    </row>
    <row r="246" spans="1:33" ht="141.75" customHeight="1" x14ac:dyDescent="0.25">
      <c r="A246" s="674">
        <f t="shared" si="28"/>
        <v>200</v>
      </c>
      <c r="B246" s="666" t="s">
        <v>490</v>
      </c>
      <c r="C246" s="755" t="s">
        <v>1565</v>
      </c>
      <c r="D246" s="668" t="s">
        <v>165</v>
      </c>
      <c r="E246" s="666" t="s">
        <v>48</v>
      </c>
      <c r="F246" s="666">
        <v>1</v>
      </c>
      <c r="G246" s="669" t="s">
        <v>79</v>
      </c>
      <c r="H246" s="670">
        <v>12</v>
      </c>
      <c r="I246" s="666" t="s">
        <v>285</v>
      </c>
      <c r="J246" s="666" t="s">
        <v>66</v>
      </c>
      <c r="K246" s="666" t="s">
        <v>619</v>
      </c>
      <c r="L246" s="592">
        <v>23285918</v>
      </c>
      <c r="M246" s="592">
        <v>23285918</v>
      </c>
      <c r="N246" s="666" t="s">
        <v>51</v>
      </c>
      <c r="O246" s="666" t="s">
        <v>36</v>
      </c>
      <c r="P246" s="666" t="s">
        <v>308</v>
      </c>
      <c r="Q246" s="80"/>
      <c r="R246" s="673" t="s">
        <v>148</v>
      </c>
      <c r="S246" s="673" t="s">
        <v>148</v>
      </c>
      <c r="T246" s="693" t="s">
        <v>148</v>
      </c>
      <c r="U246" s="673" t="s">
        <v>148</v>
      </c>
      <c r="V246" s="673" t="s">
        <v>148</v>
      </c>
      <c r="W246" s="694">
        <v>0</v>
      </c>
      <c r="X246" s="694">
        <v>0</v>
      </c>
      <c r="Y246" s="694">
        <v>0</v>
      </c>
      <c r="Z246" s="694">
        <v>0</v>
      </c>
      <c r="AA246" s="673" t="s">
        <v>148</v>
      </c>
      <c r="AB246" s="673" t="s">
        <v>148</v>
      </c>
      <c r="AC246" s="673" t="s">
        <v>148</v>
      </c>
      <c r="AD246" s="693" t="s">
        <v>148</v>
      </c>
      <c r="AE246" s="693" t="s">
        <v>148</v>
      </c>
      <c r="AF246" s="673" t="s">
        <v>148</v>
      </c>
      <c r="AG246" s="673" t="s">
        <v>148</v>
      </c>
    </row>
    <row r="247" spans="1:33" ht="139.5" customHeight="1" x14ac:dyDescent="0.25">
      <c r="A247" s="586">
        <f t="shared" si="28"/>
        <v>201</v>
      </c>
      <c r="B247" s="587" t="s">
        <v>490</v>
      </c>
      <c r="C247" s="755" t="s">
        <v>1566</v>
      </c>
      <c r="D247" s="589" t="s">
        <v>1567</v>
      </c>
      <c r="E247" s="587" t="s">
        <v>48</v>
      </c>
      <c r="F247" s="587">
        <v>1</v>
      </c>
      <c r="G247" s="590" t="s">
        <v>77</v>
      </c>
      <c r="H247" s="591" t="s">
        <v>194</v>
      </c>
      <c r="I247" s="587" t="s">
        <v>285</v>
      </c>
      <c r="J247" s="587" t="s">
        <v>66</v>
      </c>
      <c r="K247" s="587" t="s">
        <v>619</v>
      </c>
      <c r="L247" s="592">
        <v>43000000</v>
      </c>
      <c r="M247" s="592">
        <v>43000000</v>
      </c>
      <c r="N247" s="587" t="s">
        <v>51</v>
      </c>
      <c r="O247" s="587" t="s">
        <v>36</v>
      </c>
      <c r="P247" s="587" t="s">
        <v>308</v>
      </c>
      <c r="Q247" s="80"/>
      <c r="R247" s="673" t="s">
        <v>148</v>
      </c>
      <c r="S247" s="673" t="s">
        <v>148</v>
      </c>
      <c r="T247" s="693" t="s">
        <v>148</v>
      </c>
      <c r="U247" s="673" t="s">
        <v>148</v>
      </c>
      <c r="V247" s="673" t="s">
        <v>148</v>
      </c>
      <c r="W247" s="694">
        <v>0</v>
      </c>
      <c r="X247" s="694">
        <v>0</v>
      </c>
      <c r="Y247" s="694">
        <v>0</v>
      </c>
      <c r="Z247" s="694">
        <v>0</v>
      </c>
      <c r="AA247" s="673" t="s">
        <v>148</v>
      </c>
      <c r="AB247" s="673" t="s">
        <v>148</v>
      </c>
      <c r="AC247" s="673" t="s">
        <v>148</v>
      </c>
      <c r="AD247" s="693" t="s">
        <v>148</v>
      </c>
      <c r="AE247" s="693" t="s">
        <v>148</v>
      </c>
      <c r="AF247" s="673" t="s">
        <v>148</v>
      </c>
      <c r="AG247" s="673" t="s">
        <v>148</v>
      </c>
    </row>
    <row r="248" spans="1:33" ht="125.25" customHeight="1" x14ac:dyDescent="0.25">
      <c r="A248" s="586">
        <f t="shared" si="28"/>
        <v>202</v>
      </c>
      <c r="B248" s="587" t="s">
        <v>490</v>
      </c>
      <c r="C248" s="755">
        <v>81112501</v>
      </c>
      <c r="D248" s="589" t="s">
        <v>1568</v>
      </c>
      <c r="E248" s="587" t="s">
        <v>48</v>
      </c>
      <c r="F248" s="587">
        <v>1</v>
      </c>
      <c r="G248" s="590" t="s">
        <v>79</v>
      </c>
      <c r="H248" s="591">
        <v>24</v>
      </c>
      <c r="I248" s="587" t="s">
        <v>173</v>
      </c>
      <c r="J248" s="587" t="s">
        <v>66</v>
      </c>
      <c r="K248" s="587" t="s">
        <v>619</v>
      </c>
      <c r="L248" s="592">
        <v>200000000</v>
      </c>
      <c r="M248" s="592">
        <v>200000000</v>
      </c>
      <c r="N248" s="587" t="s">
        <v>51</v>
      </c>
      <c r="O248" s="587" t="s">
        <v>36</v>
      </c>
      <c r="P248" s="587" t="s">
        <v>308</v>
      </c>
      <c r="Q248" s="80"/>
      <c r="R248" s="673" t="s">
        <v>148</v>
      </c>
      <c r="S248" s="673" t="s">
        <v>148</v>
      </c>
      <c r="T248" s="693" t="s">
        <v>148</v>
      </c>
      <c r="U248" s="673" t="s">
        <v>148</v>
      </c>
      <c r="V248" s="673" t="s">
        <v>148</v>
      </c>
      <c r="W248" s="694">
        <v>0</v>
      </c>
      <c r="X248" s="694">
        <v>0</v>
      </c>
      <c r="Y248" s="694">
        <v>0</v>
      </c>
      <c r="Z248" s="694">
        <v>0</v>
      </c>
      <c r="AA248" s="673" t="s">
        <v>148</v>
      </c>
      <c r="AB248" s="673" t="s">
        <v>148</v>
      </c>
      <c r="AC248" s="673" t="s">
        <v>148</v>
      </c>
      <c r="AD248" s="693" t="s">
        <v>148</v>
      </c>
      <c r="AE248" s="693" t="s">
        <v>148</v>
      </c>
      <c r="AF248" s="673" t="s">
        <v>148</v>
      </c>
      <c r="AG248" s="673" t="s">
        <v>148</v>
      </c>
    </row>
    <row r="249" spans="1:33" ht="69" customHeight="1" x14ac:dyDescent="0.25">
      <c r="A249" s="586">
        <f t="shared" si="28"/>
        <v>203</v>
      </c>
      <c r="B249" s="587" t="s">
        <v>490</v>
      </c>
      <c r="C249" s="755">
        <v>43231508</v>
      </c>
      <c r="D249" s="589" t="s">
        <v>295</v>
      </c>
      <c r="E249" s="587" t="s">
        <v>59</v>
      </c>
      <c r="F249" s="587">
        <v>1</v>
      </c>
      <c r="G249" s="590" t="s">
        <v>77</v>
      </c>
      <c r="H249" s="591" t="s">
        <v>194</v>
      </c>
      <c r="I249" s="587" t="s">
        <v>253</v>
      </c>
      <c r="J249" s="587" t="s">
        <v>66</v>
      </c>
      <c r="K249" s="587" t="s">
        <v>619</v>
      </c>
      <c r="L249" s="592">
        <v>81400000</v>
      </c>
      <c r="M249" s="592">
        <v>81400000</v>
      </c>
      <c r="N249" s="587" t="s">
        <v>51</v>
      </c>
      <c r="O249" s="587" t="s">
        <v>36</v>
      </c>
      <c r="P249" s="587" t="s">
        <v>308</v>
      </c>
      <c r="Q249" s="80"/>
      <c r="R249" s="673" t="s">
        <v>148</v>
      </c>
      <c r="S249" s="673" t="s">
        <v>148</v>
      </c>
      <c r="T249" s="693" t="s">
        <v>148</v>
      </c>
      <c r="U249" s="673" t="s">
        <v>148</v>
      </c>
      <c r="V249" s="673" t="s">
        <v>148</v>
      </c>
      <c r="W249" s="694">
        <v>0</v>
      </c>
      <c r="X249" s="694">
        <v>0</v>
      </c>
      <c r="Y249" s="694">
        <v>0</v>
      </c>
      <c r="Z249" s="694">
        <v>0</v>
      </c>
      <c r="AA249" s="673" t="s">
        <v>148</v>
      </c>
      <c r="AB249" s="673" t="s">
        <v>148</v>
      </c>
      <c r="AC249" s="673" t="s">
        <v>148</v>
      </c>
      <c r="AD249" s="693" t="s">
        <v>148</v>
      </c>
      <c r="AE249" s="693" t="s">
        <v>148</v>
      </c>
      <c r="AF249" s="673" t="s">
        <v>148</v>
      </c>
      <c r="AG249" s="673" t="s">
        <v>148</v>
      </c>
    </row>
    <row r="250" spans="1:33" ht="114.95" customHeight="1" x14ac:dyDescent="0.25">
      <c r="A250" s="586">
        <f t="shared" si="28"/>
        <v>204</v>
      </c>
      <c r="B250" s="587" t="s">
        <v>490</v>
      </c>
      <c r="C250" s="755" t="s">
        <v>1569</v>
      </c>
      <c r="D250" s="589" t="s">
        <v>620</v>
      </c>
      <c r="E250" s="587" t="s">
        <v>68</v>
      </c>
      <c r="F250" s="587">
        <v>1</v>
      </c>
      <c r="G250" s="590" t="s">
        <v>74</v>
      </c>
      <c r="H250" s="591" t="s">
        <v>194</v>
      </c>
      <c r="I250" s="587" t="s">
        <v>285</v>
      </c>
      <c r="J250" s="587" t="s">
        <v>66</v>
      </c>
      <c r="K250" s="587" t="s">
        <v>619</v>
      </c>
      <c r="L250" s="592">
        <v>30000000</v>
      </c>
      <c r="M250" s="592">
        <v>30000000</v>
      </c>
      <c r="N250" s="587" t="s">
        <v>51</v>
      </c>
      <c r="O250" s="587" t="s">
        <v>36</v>
      </c>
      <c r="P250" s="587" t="s">
        <v>308</v>
      </c>
      <c r="Q250" s="80"/>
      <c r="R250" s="673" t="s">
        <v>148</v>
      </c>
      <c r="S250" s="673" t="s">
        <v>148</v>
      </c>
      <c r="T250" s="693" t="s">
        <v>148</v>
      </c>
      <c r="U250" s="673" t="s">
        <v>148</v>
      </c>
      <c r="V250" s="673" t="s">
        <v>148</v>
      </c>
      <c r="W250" s="694">
        <v>0</v>
      </c>
      <c r="X250" s="694">
        <v>0</v>
      </c>
      <c r="Y250" s="694">
        <v>0</v>
      </c>
      <c r="Z250" s="694">
        <v>0</v>
      </c>
      <c r="AA250" s="673" t="s">
        <v>148</v>
      </c>
      <c r="AB250" s="673" t="s">
        <v>148</v>
      </c>
      <c r="AC250" s="673" t="s">
        <v>148</v>
      </c>
      <c r="AD250" s="693" t="s">
        <v>148</v>
      </c>
      <c r="AE250" s="693" t="s">
        <v>148</v>
      </c>
      <c r="AF250" s="673" t="s">
        <v>148</v>
      </c>
      <c r="AG250" s="673" t="s">
        <v>148</v>
      </c>
    </row>
    <row r="251" spans="1:33" ht="121.5" customHeight="1" x14ac:dyDescent="0.25">
      <c r="A251" s="658">
        <f t="shared" ref="A251:A267" si="31">SUM(A250+1)</f>
        <v>205</v>
      </c>
      <c r="B251" s="759" t="s">
        <v>490</v>
      </c>
      <c r="C251" s="659">
        <v>81112501</v>
      </c>
      <c r="D251" s="660" t="s">
        <v>621</v>
      </c>
      <c r="E251" s="759" t="s">
        <v>48</v>
      </c>
      <c r="F251" s="759">
        <v>1</v>
      </c>
      <c r="G251" s="661" t="s">
        <v>77</v>
      </c>
      <c r="H251" s="662">
        <v>12</v>
      </c>
      <c r="I251" s="759" t="s">
        <v>253</v>
      </c>
      <c r="J251" s="759" t="s">
        <v>66</v>
      </c>
      <c r="K251" s="759" t="s">
        <v>619</v>
      </c>
      <c r="L251" s="663">
        <v>11330000</v>
      </c>
      <c r="M251" s="663">
        <v>11330000</v>
      </c>
      <c r="N251" s="759" t="s">
        <v>51</v>
      </c>
      <c r="O251" s="759" t="s">
        <v>36</v>
      </c>
      <c r="P251" s="759" t="s">
        <v>308</v>
      </c>
      <c r="Q251" s="80"/>
      <c r="R251" s="665" t="s">
        <v>1605</v>
      </c>
      <c r="S251" s="665" t="s">
        <v>1606</v>
      </c>
      <c r="T251" s="691">
        <v>43308</v>
      </c>
      <c r="U251" s="665" t="s">
        <v>1607</v>
      </c>
      <c r="V251" s="665" t="s">
        <v>657</v>
      </c>
      <c r="W251" s="692">
        <v>10560000</v>
      </c>
      <c r="X251" s="692">
        <v>0</v>
      </c>
      <c r="Y251" s="692">
        <v>10560000</v>
      </c>
      <c r="Z251" s="692">
        <v>10560000</v>
      </c>
      <c r="AA251" s="665" t="s">
        <v>1608</v>
      </c>
      <c r="AB251" s="665">
        <v>31518</v>
      </c>
      <c r="AC251" s="665" t="s">
        <v>1609</v>
      </c>
      <c r="AD251" s="691">
        <v>43327</v>
      </c>
      <c r="AE251" s="691">
        <v>43691</v>
      </c>
      <c r="AF251" s="665" t="s">
        <v>1610</v>
      </c>
      <c r="AG251" s="665" t="s">
        <v>890</v>
      </c>
    </row>
    <row r="252" spans="1:33" ht="111" customHeight="1" x14ac:dyDescent="0.25">
      <c r="A252" s="586">
        <f t="shared" si="31"/>
        <v>206</v>
      </c>
      <c r="B252" s="587" t="s">
        <v>490</v>
      </c>
      <c r="C252" s="755" t="s">
        <v>1570</v>
      </c>
      <c r="D252" s="589" t="s">
        <v>291</v>
      </c>
      <c r="E252" s="587" t="s">
        <v>68</v>
      </c>
      <c r="F252" s="587">
        <v>1</v>
      </c>
      <c r="G252" s="590" t="s">
        <v>77</v>
      </c>
      <c r="H252" s="591" t="s">
        <v>194</v>
      </c>
      <c r="I252" s="587" t="s">
        <v>253</v>
      </c>
      <c r="J252" s="587" t="s">
        <v>66</v>
      </c>
      <c r="K252" s="587" t="s">
        <v>619</v>
      </c>
      <c r="L252" s="592">
        <v>68100000</v>
      </c>
      <c r="M252" s="592">
        <v>68100000</v>
      </c>
      <c r="N252" s="587" t="s">
        <v>51</v>
      </c>
      <c r="O252" s="587" t="s">
        <v>36</v>
      </c>
      <c r="P252" s="587" t="s">
        <v>308</v>
      </c>
      <c r="Q252" s="80"/>
      <c r="R252" s="673" t="s">
        <v>148</v>
      </c>
      <c r="S252" s="673" t="s">
        <v>148</v>
      </c>
      <c r="T252" s="693" t="s">
        <v>148</v>
      </c>
      <c r="U252" s="673" t="s">
        <v>148</v>
      </c>
      <c r="V252" s="673" t="s">
        <v>148</v>
      </c>
      <c r="W252" s="694">
        <v>0</v>
      </c>
      <c r="X252" s="694">
        <v>0</v>
      </c>
      <c r="Y252" s="694">
        <v>0</v>
      </c>
      <c r="Z252" s="694">
        <v>0</v>
      </c>
      <c r="AA252" s="673" t="s">
        <v>148</v>
      </c>
      <c r="AB252" s="673" t="s">
        <v>148</v>
      </c>
      <c r="AC252" s="673" t="s">
        <v>148</v>
      </c>
      <c r="AD252" s="693" t="s">
        <v>148</v>
      </c>
      <c r="AE252" s="693" t="s">
        <v>148</v>
      </c>
      <c r="AF252" s="673" t="s">
        <v>148</v>
      </c>
      <c r="AG252" s="673" t="s">
        <v>148</v>
      </c>
    </row>
    <row r="253" spans="1:33" ht="69" customHeight="1" x14ac:dyDescent="0.25">
      <c r="A253" s="674">
        <f t="shared" si="31"/>
        <v>207</v>
      </c>
      <c r="B253" s="651" t="s">
        <v>490</v>
      </c>
      <c r="C253" s="652">
        <v>43232703</v>
      </c>
      <c r="D253" s="653" t="s">
        <v>293</v>
      </c>
      <c r="E253" s="651" t="s">
        <v>68</v>
      </c>
      <c r="F253" s="651">
        <v>1</v>
      </c>
      <c r="G253" s="654" t="s">
        <v>78</v>
      </c>
      <c r="H253" s="655" t="s">
        <v>232</v>
      </c>
      <c r="I253" s="651" t="s">
        <v>253</v>
      </c>
      <c r="J253" s="651" t="s">
        <v>66</v>
      </c>
      <c r="K253" s="651" t="s">
        <v>619</v>
      </c>
      <c r="L253" s="656"/>
      <c r="M253" s="656"/>
      <c r="N253" s="651" t="s">
        <v>51</v>
      </c>
      <c r="O253" s="651" t="s">
        <v>36</v>
      </c>
      <c r="P253" s="651" t="s">
        <v>308</v>
      </c>
      <c r="Q253" s="80"/>
      <c r="R253" s="673" t="s">
        <v>148</v>
      </c>
      <c r="S253" s="673" t="s">
        <v>148</v>
      </c>
      <c r="T253" s="693" t="s">
        <v>148</v>
      </c>
      <c r="U253" s="673" t="s">
        <v>148</v>
      </c>
      <c r="V253" s="673" t="s">
        <v>148</v>
      </c>
      <c r="W253" s="694">
        <v>0</v>
      </c>
      <c r="X253" s="694">
        <v>0</v>
      </c>
      <c r="Y253" s="694">
        <v>0</v>
      </c>
      <c r="Z253" s="694">
        <v>0</v>
      </c>
      <c r="AA253" s="673" t="s">
        <v>148</v>
      </c>
      <c r="AB253" s="673" t="s">
        <v>148</v>
      </c>
      <c r="AC253" s="673" t="s">
        <v>148</v>
      </c>
      <c r="AD253" s="693" t="s">
        <v>148</v>
      </c>
      <c r="AE253" s="693" t="s">
        <v>148</v>
      </c>
      <c r="AF253" s="673" t="s">
        <v>148</v>
      </c>
      <c r="AG253" s="673" t="s">
        <v>148</v>
      </c>
    </row>
    <row r="254" spans="1:33" ht="92.1" customHeight="1" x14ac:dyDescent="0.25">
      <c r="A254" s="674">
        <f t="shared" si="31"/>
        <v>208</v>
      </c>
      <c r="B254" s="587" t="s">
        <v>490</v>
      </c>
      <c r="C254" s="755" t="s">
        <v>1571</v>
      </c>
      <c r="D254" s="589" t="s">
        <v>288</v>
      </c>
      <c r="E254" s="587" t="s">
        <v>68</v>
      </c>
      <c r="F254" s="587">
        <v>1</v>
      </c>
      <c r="G254" s="590" t="s">
        <v>74</v>
      </c>
      <c r="H254" s="591">
        <v>12</v>
      </c>
      <c r="I254" s="587" t="s">
        <v>285</v>
      </c>
      <c r="J254" s="587" t="s">
        <v>66</v>
      </c>
      <c r="K254" s="587" t="s">
        <v>619</v>
      </c>
      <c r="L254" s="592">
        <v>62100000</v>
      </c>
      <c r="M254" s="592">
        <v>62100000</v>
      </c>
      <c r="N254" s="587" t="s">
        <v>51</v>
      </c>
      <c r="O254" s="587" t="s">
        <v>36</v>
      </c>
      <c r="P254" s="587" t="s">
        <v>308</v>
      </c>
      <c r="Q254" s="80"/>
      <c r="R254" s="673" t="s">
        <v>148</v>
      </c>
      <c r="S254" s="673" t="s">
        <v>148</v>
      </c>
      <c r="T254" s="693" t="s">
        <v>148</v>
      </c>
      <c r="U254" s="673" t="s">
        <v>148</v>
      </c>
      <c r="V254" s="673" t="s">
        <v>148</v>
      </c>
      <c r="W254" s="694">
        <v>0</v>
      </c>
      <c r="X254" s="694">
        <v>0</v>
      </c>
      <c r="Y254" s="694">
        <v>0</v>
      </c>
      <c r="Z254" s="694">
        <v>0</v>
      </c>
      <c r="AA254" s="673" t="s">
        <v>148</v>
      </c>
      <c r="AB254" s="673" t="s">
        <v>148</v>
      </c>
      <c r="AC254" s="673" t="s">
        <v>148</v>
      </c>
      <c r="AD254" s="693" t="s">
        <v>148</v>
      </c>
      <c r="AE254" s="693" t="s">
        <v>148</v>
      </c>
      <c r="AF254" s="673" t="s">
        <v>148</v>
      </c>
      <c r="AG254" s="673" t="s">
        <v>148</v>
      </c>
    </row>
    <row r="255" spans="1:33" ht="126.6" customHeight="1" x14ac:dyDescent="0.25">
      <c r="A255" s="658">
        <f t="shared" si="31"/>
        <v>209</v>
      </c>
      <c r="B255" s="759" t="s">
        <v>624</v>
      </c>
      <c r="C255" s="659" t="s">
        <v>1443</v>
      </c>
      <c r="D255" s="660" t="s">
        <v>1217</v>
      </c>
      <c r="E255" s="759" t="s">
        <v>68</v>
      </c>
      <c r="F255" s="759">
        <v>1</v>
      </c>
      <c r="G255" s="661" t="s">
        <v>78</v>
      </c>
      <c r="H255" s="662">
        <v>12</v>
      </c>
      <c r="I255" s="759" t="s">
        <v>285</v>
      </c>
      <c r="J255" s="759" t="s">
        <v>66</v>
      </c>
      <c r="K255" s="759" t="s">
        <v>601</v>
      </c>
      <c r="L255" s="663">
        <v>273278560</v>
      </c>
      <c r="M255" s="664">
        <v>273278560</v>
      </c>
      <c r="N255" s="759" t="s">
        <v>51</v>
      </c>
      <c r="O255" s="759" t="s">
        <v>36</v>
      </c>
      <c r="P255" s="759" t="s">
        <v>308</v>
      </c>
      <c r="Q255" s="80"/>
      <c r="R255" s="665" t="s">
        <v>1576</v>
      </c>
      <c r="S255" s="665" t="s">
        <v>1577</v>
      </c>
      <c r="T255" s="691">
        <v>43272</v>
      </c>
      <c r="U255" s="665" t="s">
        <v>1578</v>
      </c>
      <c r="V255" s="665" t="s">
        <v>657</v>
      </c>
      <c r="W255" s="692">
        <v>273278560</v>
      </c>
      <c r="X255" s="692">
        <v>0</v>
      </c>
      <c r="Y255" s="692">
        <v>273278560</v>
      </c>
      <c r="Z255" s="692">
        <v>273278560</v>
      </c>
      <c r="AA255" s="665" t="s">
        <v>1579</v>
      </c>
      <c r="AB255" s="665">
        <v>20618</v>
      </c>
      <c r="AC255" s="665" t="s">
        <v>1580</v>
      </c>
      <c r="AD255" s="691">
        <v>43273</v>
      </c>
      <c r="AE255" s="691">
        <v>43637</v>
      </c>
      <c r="AF255" s="665" t="s">
        <v>906</v>
      </c>
      <c r="AG255" s="665" t="s">
        <v>890</v>
      </c>
    </row>
    <row r="256" spans="1:33" ht="228" customHeight="1" x14ac:dyDescent="0.25">
      <c r="A256" s="658">
        <f t="shared" si="31"/>
        <v>210</v>
      </c>
      <c r="B256" s="759" t="s">
        <v>624</v>
      </c>
      <c r="C256" s="659">
        <v>81112501</v>
      </c>
      <c r="D256" s="660" t="s">
        <v>270</v>
      </c>
      <c r="E256" s="759" t="s">
        <v>68</v>
      </c>
      <c r="F256" s="759">
        <v>1</v>
      </c>
      <c r="G256" s="661" t="s">
        <v>77</v>
      </c>
      <c r="H256" s="662">
        <v>12</v>
      </c>
      <c r="I256" s="759" t="s">
        <v>173</v>
      </c>
      <c r="J256" s="759" t="s">
        <v>66</v>
      </c>
      <c r="K256" s="759" t="s">
        <v>601</v>
      </c>
      <c r="L256" s="663">
        <v>370858400.00000006</v>
      </c>
      <c r="M256" s="664">
        <v>370858400.00000006</v>
      </c>
      <c r="N256" s="759" t="s">
        <v>51</v>
      </c>
      <c r="O256" s="759" t="s">
        <v>36</v>
      </c>
      <c r="P256" s="759" t="s">
        <v>308</v>
      </c>
      <c r="Q256" s="80"/>
      <c r="R256" s="665" t="s">
        <v>1611</v>
      </c>
      <c r="S256" s="665" t="s">
        <v>1612</v>
      </c>
      <c r="T256" s="691">
        <v>43307</v>
      </c>
      <c r="U256" s="665" t="s">
        <v>1613</v>
      </c>
      <c r="V256" s="665" t="s">
        <v>665</v>
      </c>
      <c r="W256" s="692">
        <v>361259286</v>
      </c>
      <c r="X256" s="692">
        <v>0</v>
      </c>
      <c r="Y256" s="692">
        <v>361259286</v>
      </c>
      <c r="Z256" s="692">
        <v>361259286</v>
      </c>
      <c r="AA256" s="665" t="s">
        <v>1614</v>
      </c>
      <c r="AB256" s="665">
        <v>31818</v>
      </c>
      <c r="AC256" s="665" t="s">
        <v>1615</v>
      </c>
      <c r="AD256" s="691">
        <v>43368</v>
      </c>
      <c r="AE256" s="691">
        <v>43742</v>
      </c>
      <c r="AF256" s="665" t="s">
        <v>1616</v>
      </c>
      <c r="AG256" s="665" t="s">
        <v>890</v>
      </c>
    </row>
    <row r="257" spans="1:33" ht="108" customHeight="1" x14ac:dyDescent="0.25">
      <c r="A257" s="674">
        <f t="shared" si="31"/>
        <v>211</v>
      </c>
      <c r="B257" s="651" t="s">
        <v>624</v>
      </c>
      <c r="C257" s="652">
        <v>81112501</v>
      </c>
      <c r="D257" s="653" t="s">
        <v>625</v>
      </c>
      <c r="E257" s="651" t="s">
        <v>68</v>
      </c>
      <c r="F257" s="651">
        <v>1</v>
      </c>
      <c r="G257" s="654" t="s">
        <v>76</v>
      </c>
      <c r="H257" s="655">
        <v>12</v>
      </c>
      <c r="I257" s="651" t="s">
        <v>61</v>
      </c>
      <c r="J257" s="651" t="s">
        <v>66</v>
      </c>
      <c r="K257" s="651" t="s">
        <v>601</v>
      </c>
      <c r="L257" s="656"/>
      <c r="M257" s="657"/>
      <c r="N257" s="651" t="s">
        <v>51</v>
      </c>
      <c r="O257" s="651" t="s">
        <v>36</v>
      </c>
      <c r="P257" s="651" t="s">
        <v>308</v>
      </c>
      <c r="Q257" s="80"/>
      <c r="R257" s="673" t="s">
        <v>148</v>
      </c>
      <c r="S257" s="673" t="s">
        <v>148</v>
      </c>
      <c r="T257" s="693" t="s">
        <v>148</v>
      </c>
      <c r="U257" s="673" t="s">
        <v>148</v>
      </c>
      <c r="V257" s="673" t="s">
        <v>148</v>
      </c>
      <c r="W257" s="719">
        <v>0</v>
      </c>
      <c r="X257" s="719">
        <v>0</v>
      </c>
      <c r="Y257" s="719">
        <v>0</v>
      </c>
      <c r="Z257" s="719">
        <v>0</v>
      </c>
      <c r="AA257" s="673" t="s">
        <v>148</v>
      </c>
      <c r="AB257" s="673" t="s">
        <v>148</v>
      </c>
      <c r="AC257" s="673" t="s">
        <v>148</v>
      </c>
      <c r="AD257" s="693" t="s">
        <v>148</v>
      </c>
      <c r="AE257" s="693" t="s">
        <v>148</v>
      </c>
      <c r="AF257" s="673" t="s">
        <v>148</v>
      </c>
      <c r="AG257" s="673" t="s">
        <v>148</v>
      </c>
    </row>
    <row r="258" spans="1:33" s="687" customFormat="1" ht="178.9" customHeight="1" x14ac:dyDescent="0.25">
      <c r="A258" s="658">
        <f t="shared" si="31"/>
        <v>212</v>
      </c>
      <c r="B258" s="759" t="s">
        <v>301</v>
      </c>
      <c r="C258" s="659" t="s">
        <v>71</v>
      </c>
      <c r="D258" s="660" t="s">
        <v>626</v>
      </c>
      <c r="E258" s="759" t="s">
        <v>48</v>
      </c>
      <c r="F258" s="759">
        <v>1</v>
      </c>
      <c r="G258" s="661" t="s">
        <v>75</v>
      </c>
      <c r="H258" s="662" t="s">
        <v>1216</v>
      </c>
      <c r="I258" s="759" t="s">
        <v>173</v>
      </c>
      <c r="J258" s="759" t="s">
        <v>66</v>
      </c>
      <c r="K258" s="759" t="s">
        <v>601</v>
      </c>
      <c r="L258" s="663">
        <v>40000000</v>
      </c>
      <c r="M258" s="663">
        <v>40000000</v>
      </c>
      <c r="N258" s="759" t="s">
        <v>627</v>
      </c>
      <c r="O258" s="759" t="s">
        <v>36</v>
      </c>
      <c r="P258" s="759" t="s">
        <v>502</v>
      </c>
      <c r="Q258" s="80"/>
      <c r="R258" s="665" t="s">
        <v>1437</v>
      </c>
      <c r="S258" s="665" t="s">
        <v>670</v>
      </c>
      <c r="T258" s="691">
        <v>43171</v>
      </c>
      <c r="U258" s="665" t="s">
        <v>626</v>
      </c>
      <c r="V258" s="665" t="s">
        <v>1226</v>
      </c>
      <c r="W258" s="692">
        <v>40000000</v>
      </c>
      <c r="X258" s="692">
        <v>0</v>
      </c>
      <c r="Y258" s="692">
        <v>40000000</v>
      </c>
      <c r="Z258" s="692">
        <v>40000000</v>
      </c>
      <c r="AA258" s="665" t="s">
        <v>1438</v>
      </c>
      <c r="AB258" s="665">
        <v>19818</v>
      </c>
      <c r="AC258" s="665" t="s">
        <v>1439</v>
      </c>
      <c r="AD258" s="691">
        <v>43171</v>
      </c>
      <c r="AE258" s="691">
        <v>43462</v>
      </c>
      <c r="AF258" s="665" t="s">
        <v>1440</v>
      </c>
      <c r="AG258" s="665" t="s">
        <v>301</v>
      </c>
    </row>
    <row r="259" spans="1:33" s="687" customFormat="1" ht="153.75" customHeight="1" x14ac:dyDescent="0.25">
      <c r="A259" s="658">
        <f t="shared" si="31"/>
        <v>213</v>
      </c>
      <c r="B259" s="759" t="s">
        <v>521</v>
      </c>
      <c r="C259" s="659" t="s">
        <v>71</v>
      </c>
      <c r="D259" s="660" t="s">
        <v>626</v>
      </c>
      <c r="E259" s="759" t="s">
        <v>48</v>
      </c>
      <c r="F259" s="759">
        <v>1</v>
      </c>
      <c r="G259" s="661" t="s">
        <v>80</v>
      </c>
      <c r="H259" s="662" t="s">
        <v>250</v>
      </c>
      <c r="I259" s="759" t="s">
        <v>173</v>
      </c>
      <c r="J259" s="759" t="s">
        <v>66</v>
      </c>
      <c r="K259" s="759" t="s">
        <v>610</v>
      </c>
      <c r="L259" s="663">
        <v>438000000</v>
      </c>
      <c r="M259" s="663">
        <v>438000000</v>
      </c>
      <c r="N259" s="759" t="s">
        <v>627</v>
      </c>
      <c r="O259" s="759" t="s">
        <v>36</v>
      </c>
      <c r="P259" s="759" t="s">
        <v>523</v>
      </c>
      <c r="Q259" s="80"/>
      <c r="R259" s="665" t="s">
        <v>1223</v>
      </c>
      <c r="S259" s="665" t="s">
        <v>1224</v>
      </c>
      <c r="T259" s="691">
        <v>43139</v>
      </c>
      <c r="U259" s="665" t="s">
        <v>1225</v>
      </c>
      <c r="V259" s="665" t="s">
        <v>1226</v>
      </c>
      <c r="W259" s="692">
        <v>438000000</v>
      </c>
      <c r="X259" s="692">
        <v>0</v>
      </c>
      <c r="Y259" s="692">
        <v>438000000</v>
      </c>
      <c r="Z259" s="692">
        <v>438000000</v>
      </c>
      <c r="AA259" s="665" t="s">
        <v>1227</v>
      </c>
      <c r="AB259" s="665" t="s">
        <v>1401</v>
      </c>
      <c r="AC259" s="665" t="s">
        <v>1228</v>
      </c>
      <c r="AD259" s="691">
        <v>43139</v>
      </c>
      <c r="AE259" s="691">
        <v>43462</v>
      </c>
      <c r="AF259" s="665" t="s">
        <v>822</v>
      </c>
      <c r="AG259" s="665" t="s">
        <v>823</v>
      </c>
    </row>
    <row r="260" spans="1:33" ht="145.15" customHeight="1" x14ac:dyDescent="0.25">
      <c r="A260" s="658">
        <f t="shared" si="31"/>
        <v>214</v>
      </c>
      <c r="B260" s="759" t="s">
        <v>264</v>
      </c>
      <c r="C260" s="659">
        <v>80101706</v>
      </c>
      <c r="D260" s="660" t="s">
        <v>638</v>
      </c>
      <c r="E260" s="759" t="s">
        <v>68</v>
      </c>
      <c r="F260" s="759">
        <v>1</v>
      </c>
      <c r="G260" s="661" t="s">
        <v>73</v>
      </c>
      <c r="H260" s="662" t="s">
        <v>206</v>
      </c>
      <c r="I260" s="759" t="s">
        <v>61</v>
      </c>
      <c r="J260" s="759" t="s">
        <v>66</v>
      </c>
      <c r="K260" s="759" t="s">
        <v>601</v>
      </c>
      <c r="L260" s="663">
        <v>36000000</v>
      </c>
      <c r="M260" s="663">
        <v>36000000</v>
      </c>
      <c r="N260" s="759" t="s">
        <v>51</v>
      </c>
      <c r="O260" s="759" t="s">
        <v>639</v>
      </c>
      <c r="P260" s="759" t="s">
        <v>640</v>
      </c>
      <c r="Q260" s="80"/>
      <c r="R260" s="665" t="s">
        <v>1199</v>
      </c>
      <c r="S260" s="665" t="s">
        <v>1198</v>
      </c>
      <c r="T260" s="691">
        <v>43123</v>
      </c>
      <c r="U260" s="665" t="s">
        <v>1200</v>
      </c>
      <c r="V260" s="665" t="s">
        <v>672</v>
      </c>
      <c r="W260" s="692">
        <v>36000000</v>
      </c>
      <c r="X260" s="692">
        <v>0</v>
      </c>
      <c r="Y260" s="692">
        <v>36000000</v>
      </c>
      <c r="Z260" s="692">
        <v>36000000</v>
      </c>
      <c r="AA260" s="665" t="s">
        <v>1201</v>
      </c>
      <c r="AB260" s="665" t="s">
        <v>1402</v>
      </c>
      <c r="AC260" s="665" t="s">
        <v>681</v>
      </c>
      <c r="AD260" s="691">
        <v>43126</v>
      </c>
      <c r="AE260" s="691">
        <v>43368</v>
      </c>
      <c r="AF260" s="665" t="s">
        <v>675</v>
      </c>
      <c r="AG260" s="665" t="s">
        <v>661</v>
      </c>
    </row>
    <row r="261" spans="1:33" ht="118.5" customHeight="1" x14ac:dyDescent="0.25">
      <c r="A261" s="658">
        <f t="shared" si="31"/>
        <v>215</v>
      </c>
      <c r="B261" s="759" t="s">
        <v>490</v>
      </c>
      <c r="C261" s="659">
        <v>43232703</v>
      </c>
      <c r="D261" s="660" t="s">
        <v>643</v>
      </c>
      <c r="E261" s="759" t="s">
        <v>644</v>
      </c>
      <c r="F261" s="759">
        <v>1</v>
      </c>
      <c r="G261" s="661" t="s">
        <v>76</v>
      </c>
      <c r="H261" s="662" t="s">
        <v>194</v>
      </c>
      <c r="I261" s="759" t="s">
        <v>55</v>
      </c>
      <c r="J261" s="759" t="s">
        <v>66</v>
      </c>
      <c r="K261" s="759" t="s">
        <v>619</v>
      </c>
      <c r="L261" s="663">
        <v>20781000</v>
      </c>
      <c r="M261" s="663">
        <v>20781000</v>
      </c>
      <c r="N261" s="759" t="s">
        <v>51</v>
      </c>
      <c r="O261" s="759" t="s">
        <v>36</v>
      </c>
      <c r="P261" s="759" t="s">
        <v>308</v>
      </c>
      <c r="Q261" s="80"/>
      <c r="R261" s="665" t="s">
        <v>1550</v>
      </c>
      <c r="S261" s="665" t="s">
        <v>1551</v>
      </c>
      <c r="T261" s="691">
        <v>43266</v>
      </c>
      <c r="U261" s="665" t="s">
        <v>1552</v>
      </c>
      <c r="V261" s="665" t="s">
        <v>657</v>
      </c>
      <c r="W261" s="692">
        <v>9450000</v>
      </c>
      <c r="X261" s="692">
        <v>0</v>
      </c>
      <c r="Y261" s="692">
        <v>9450000</v>
      </c>
      <c r="Z261" s="692">
        <v>9450000</v>
      </c>
      <c r="AA261" s="665" t="s">
        <v>1553</v>
      </c>
      <c r="AB261" s="665">
        <v>19918</v>
      </c>
      <c r="AC261" s="665" t="s">
        <v>148</v>
      </c>
      <c r="AD261" s="691" t="s">
        <v>148</v>
      </c>
      <c r="AE261" s="691" t="s">
        <v>148</v>
      </c>
      <c r="AF261" s="665" t="s">
        <v>148</v>
      </c>
      <c r="AG261" s="665" t="s">
        <v>148</v>
      </c>
    </row>
    <row r="262" spans="1:33" ht="145.15" customHeight="1" x14ac:dyDescent="0.25">
      <c r="A262" s="658">
        <f t="shared" si="31"/>
        <v>216</v>
      </c>
      <c r="B262" s="759" t="s">
        <v>301</v>
      </c>
      <c r="C262" s="759">
        <v>80101706</v>
      </c>
      <c r="D262" s="660" t="s">
        <v>648</v>
      </c>
      <c r="E262" s="759" t="s">
        <v>59</v>
      </c>
      <c r="F262" s="759">
        <v>1</v>
      </c>
      <c r="G262" s="661" t="s">
        <v>649</v>
      </c>
      <c r="H262" s="662" t="s">
        <v>206</v>
      </c>
      <c r="I262" s="759" t="s">
        <v>61</v>
      </c>
      <c r="J262" s="759" t="s">
        <v>66</v>
      </c>
      <c r="K262" s="759" t="s">
        <v>601</v>
      </c>
      <c r="L262" s="663">
        <f>5953000*8</f>
        <v>47624000</v>
      </c>
      <c r="M262" s="663">
        <f>5953000*8</f>
        <v>47624000</v>
      </c>
      <c r="N262" s="759" t="s">
        <v>650</v>
      </c>
      <c r="O262" s="759" t="s">
        <v>36</v>
      </c>
      <c r="P262" s="759" t="s">
        <v>502</v>
      </c>
      <c r="Q262" s="80"/>
      <c r="R262" s="665" t="s">
        <v>1202</v>
      </c>
      <c r="S262" s="665" t="s">
        <v>1203</v>
      </c>
      <c r="T262" s="691">
        <v>43124</v>
      </c>
      <c r="U262" s="665" t="s">
        <v>1204</v>
      </c>
      <c r="V262" s="665" t="s">
        <v>672</v>
      </c>
      <c r="W262" s="692">
        <v>47624000</v>
      </c>
      <c r="X262" s="692">
        <v>0</v>
      </c>
      <c r="Y262" s="692">
        <v>47624000</v>
      </c>
      <c r="Z262" s="692">
        <v>47624000</v>
      </c>
      <c r="AA262" s="665" t="s">
        <v>1205</v>
      </c>
      <c r="AB262" s="665" t="s">
        <v>1403</v>
      </c>
      <c r="AC262" s="665" t="s">
        <v>681</v>
      </c>
      <c r="AD262" s="691">
        <v>43126</v>
      </c>
      <c r="AE262" s="691">
        <v>43368</v>
      </c>
      <c r="AF262" s="665" t="s">
        <v>737</v>
      </c>
      <c r="AG262" s="665" t="s">
        <v>301</v>
      </c>
    </row>
    <row r="263" spans="1:33" ht="145.15" customHeight="1" x14ac:dyDescent="0.25">
      <c r="A263" s="890">
        <f t="shared" si="31"/>
        <v>217</v>
      </c>
      <c r="B263" s="759" t="s">
        <v>529</v>
      </c>
      <c r="C263" s="659">
        <v>80101706</v>
      </c>
      <c r="D263" s="660" t="s">
        <v>530</v>
      </c>
      <c r="E263" s="759" t="s">
        <v>48</v>
      </c>
      <c r="F263" s="759">
        <v>1</v>
      </c>
      <c r="G263" s="661" t="s">
        <v>73</v>
      </c>
      <c r="H263" s="662" t="s">
        <v>653</v>
      </c>
      <c r="I263" s="759" t="s">
        <v>61</v>
      </c>
      <c r="J263" s="759" t="s">
        <v>66</v>
      </c>
      <c r="K263" s="759" t="s">
        <v>473</v>
      </c>
      <c r="L263" s="663">
        <v>33075000</v>
      </c>
      <c r="M263" s="664">
        <v>33075000</v>
      </c>
      <c r="N263" s="759" t="s">
        <v>51</v>
      </c>
      <c r="O263" s="759" t="s">
        <v>36</v>
      </c>
      <c r="P263" s="759" t="s">
        <v>531</v>
      </c>
      <c r="Q263" s="80"/>
      <c r="R263" s="886" t="s">
        <v>1206</v>
      </c>
      <c r="S263" s="886" t="s">
        <v>856</v>
      </c>
      <c r="T263" s="888">
        <v>43126</v>
      </c>
      <c r="U263" s="886" t="s">
        <v>1207</v>
      </c>
      <c r="V263" s="886" t="s">
        <v>672</v>
      </c>
      <c r="W263" s="692">
        <v>33075000</v>
      </c>
      <c r="X263" s="692"/>
      <c r="Y263" s="692">
        <f>W263+X263</f>
        <v>33075000</v>
      </c>
      <c r="Z263" s="692">
        <f>Y263</f>
        <v>33075000</v>
      </c>
      <c r="AA263" s="886" t="s">
        <v>1208</v>
      </c>
      <c r="AB263" s="886" t="s">
        <v>1404</v>
      </c>
      <c r="AC263" s="886" t="s">
        <v>693</v>
      </c>
      <c r="AD263" s="888">
        <v>43126</v>
      </c>
      <c r="AE263" s="888">
        <v>43276</v>
      </c>
      <c r="AF263" s="886" t="s">
        <v>1209</v>
      </c>
      <c r="AG263" s="886" t="s">
        <v>843</v>
      </c>
    </row>
    <row r="264" spans="1:33" ht="145.15" customHeight="1" x14ac:dyDescent="0.25">
      <c r="A264" s="891"/>
      <c r="B264" s="759" t="s">
        <v>529</v>
      </c>
      <c r="C264" s="659">
        <v>80101706</v>
      </c>
      <c r="D264" s="660" t="s">
        <v>530</v>
      </c>
      <c r="E264" s="759" t="s">
        <v>48</v>
      </c>
      <c r="F264" s="759">
        <v>1</v>
      </c>
      <c r="G264" s="661" t="s">
        <v>73</v>
      </c>
      <c r="H264" s="662" t="s">
        <v>653</v>
      </c>
      <c r="I264" s="759" t="s">
        <v>61</v>
      </c>
      <c r="J264" s="759" t="s">
        <v>66</v>
      </c>
      <c r="K264" s="759" t="s">
        <v>601</v>
      </c>
      <c r="L264" s="663">
        <v>7350000</v>
      </c>
      <c r="M264" s="664">
        <v>7350000</v>
      </c>
      <c r="N264" s="759" t="s">
        <v>51</v>
      </c>
      <c r="O264" s="759" t="s">
        <v>36</v>
      </c>
      <c r="P264" s="759" t="s">
        <v>531</v>
      </c>
      <c r="Q264" s="80"/>
      <c r="R264" s="887"/>
      <c r="S264" s="887"/>
      <c r="T264" s="889"/>
      <c r="U264" s="887"/>
      <c r="V264" s="887"/>
      <c r="W264" s="692"/>
      <c r="X264" s="692">
        <v>7350000</v>
      </c>
      <c r="Y264" s="692">
        <v>7350000</v>
      </c>
      <c r="Z264" s="692">
        <v>7350000</v>
      </c>
      <c r="AA264" s="887"/>
      <c r="AB264" s="887"/>
      <c r="AC264" s="887"/>
      <c r="AD264" s="889"/>
      <c r="AE264" s="889"/>
      <c r="AF264" s="887"/>
      <c r="AG264" s="887"/>
    </row>
    <row r="265" spans="1:33" ht="137.44999999999999" customHeight="1" x14ac:dyDescent="0.25">
      <c r="A265" s="658">
        <f>SUM(A263+1)</f>
        <v>218</v>
      </c>
      <c r="B265" s="759" t="s">
        <v>507</v>
      </c>
      <c r="C265" s="759">
        <v>80101706</v>
      </c>
      <c r="D265" s="660" t="s">
        <v>508</v>
      </c>
      <c r="E265" s="759" t="s">
        <v>48</v>
      </c>
      <c r="F265" s="759">
        <v>1</v>
      </c>
      <c r="G265" s="661" t="s">
        <v>73</v>
      </c>
      <c r="H265" s="662" t="s">
        <v>653</v>
      </c>
      <c r="I265" s="759" t="s">
        <v>61</v>
      </c>
      <c r="J265" s="759" t="s">
        <v>66</v>
      </c>
      <c r="K265" s="759" t="s">
        <v>610</v>
      </c>
      <c r="L265" s="663">
        <v>13648500</v>
      </c>
      <c r="M265" s="664">
        <v>13648500</v>
      </c>
      <c r="N265" s="759" t="s">
        <v>51</v>
      </c>
      <c r="O265" s="759" t="s">
        <v>36</v>
      </c>
      <c r="P265" s="759" t="s">
        <v>502</v>
      </c>
      <c r="Q265" s="80"/>
      <c r="R265" s="665" t="s">
        <v>1229</v>
      </c>
      <c r="S265" s="665" t="s">
        <v>1230</v>
      </c>
      <c r="T265" s="691">
        <v>43126</v>
      </c>
      <c r="U265" s="665" t="s">
        <v>1231</v>
      </c>
      <c r="V265" s="665" t="s">
        <v>672</v>
      </c>
      <c r="W265" s="692">
        <v>13648500</v>
      </c>
      <c r="X265" s="665">
        <v>0</v>
      </c>
      <c r="Y265" s="692">
        <v>13648500</v>
      </c>
      <c r="Z265" s="692">
        <v>13648500</v>
      </c>
      <c r="AA265" s="665" t="s">
        <v>1232</v>
      </c>
      <c r="AB265" s="665" t="s">
        <v>1405</v>
      </c>
      <c r="AC265" s="665" t="s">
        <v>693</v>
      </c>
      <c r="AD265" s="691">
        <v>43126</v>
      </c>
      <c r="AE265" s="691">
        <v>43276</v>
      </c>
      <c r="AF265" s="665" t="s">
        <v>237</v>
      </c>
      <c r="AG265" s="665" t="s">
        <v>682</v>
      </c>
    </row>
    <row r="266" spans="1:33" ht="137.44999999999999" customHeight="1" x14ac:dyDescent="0.25">
      <c r="A266" s="674">
        <f t="shared" si="31"/>
        <v>219</v>
      </c>
      <c r="B266" s="587" t="s">
        <v>1212</v>
      </c>
      <c r="C266" s="587">
        <v>80111700</v>
      </c>
      <c r="D266" s="589" t="s">
        <v>1218</v>
      </c>
      <c r="E266" s="587" t="s">
        <v>48</v>
      </c>
      <c r="F266" s="587">
        <v>1</v>
      </c>
      <c r="G266" s="590" t="s">
        <v>77</v>
      </c>
      <c r="H266" s="591" t="s">
        <v>194</v>
      </c>
      <c r="I266" s="587" t="s">
        <v>61</v>
      </c>
      <c r="J266" s="587" t="s">
        <v>35</v>
      </c>
      <c r="K266" s="587" t="s">
        <v>1406</v>
      </c>
      <c r="L266" s="592">
        <v>240000000</v>
      </c>
      <c r="M266" s="592">
        <v>240000000</v>
      </c>
      <c r="N266" s="587" t="s">
        <v>51</v>
      </c>
      <c r="O266" s="587" t="s">
        <v>36</v>
      </c>
      <c r="P266" s="587" t="s">
        <v>319</v>
      </c>
      <c r="Q266" s="80"/>
      <c r="R266" s="673" t="s">
        <v>148</v>
      </c>
      <c r="S266" s="673" t="s">
        <v>148</v>
      </c>
      <c r="T266" s="693" t="s">
        <v>148</v>
      </c>
      <c r="U266" s="673" t="s">
        <v>148</v>
      </c>
      <c r="V266" s="673" t="s">
        <v>148</v>
      </c>
      <c r="W266" s="694">
        <v>0</v>
      </c>
      <c r="X266" s="673">
        <v>0</v>
      </c>
      <c r="Y266" s="694">
        <v>0</v>
      </c>
      <c r="Z266" s="694">
        <v>0</v>
      </c>
      <c r="AA266" s="673" t="s">
        <v>148</v>
      </c>
      <c r="AB266" s="673" t="s">
        <v>148</v>
      </c>
      <c r="AC266" s="673" t="s">
        <v>148</v>
      </c>
      <c r="AD266" s="693" t="s">
        <v>148</v>
      </c>
      <c r="AE266" s="693" t="s">
        <v>148</v>
      </c>
      <c r="AF266" s="673" t="s">
        <v>148</v>
      </c>
      <c r="AG266" s="673" t="s">
        <v>148</v>
      </c>
    </row>
    <row r="267" spans="1:33" s="702" customFormat="1" ht="152.1" customHeight="1" x14ac:dyDescent="0.25">
      <c r="A267" s="586">
        <f t="shared" si="31"/>
        <v>220</v>
      </c>
      <c r="B267" s="587" t="s">
        <v>476</v>
      </c>
      <c r="C267" s="587">
        <v>24102004</v>
      </c>
      <c r="D267" s="589" t="s">
        <v>1442</v>
      </c>
      <c r="E267" s="587" t="s">
        <v>48</v>
      </c>
      <c r="F267" s="587">
        <v>1</v>
      </c>
      <c r="G267" s="590" t="s">
        <v>79</v>
      </c>
      <c r="H267" s="591" t="s">
        <v>157</v>
      </c>
      <c r="I267" s="587" t="s">
        <v>55</v>
      </c>
      <c r="J267" s="587" t="s">
        <v>35</v>
      </c>
      <c r="K267" s="587" t="s">
        <v>296</v>
      </c>
      <c r="L267" s="592">
        <v>9000000</v>
      </c>
      <c r="M267" s="593">
        <v>9000000</v>
      </c>
      <c r="N267" s="587" t="s">
        <v>51</v>
      </c>
      <c r="O267" s="587" t="s">
        <v>36</v>
      </c>
      <c r="P267" s="587" t="s">
        <v>475</v>
      </c>
      <c r="Q267" s="80"/>
      <c r="R267" s="703"/>
      <c r="S267" s="703"/>
      <c r="T267" s="703"/>
      <c r="U267" s="703"/>
      <c r="V267" s="703"/>
      <c r="W267" s="703"/>
      <c r="X267" s="703"/>
      <c r="Y267" s="703"/>
      <c r="Z267" s="703"/>
      <c r="AA267" s="703"/>
      <c r="AB267" s="703"/>
      <c r="AC267" s="703"/>
      <c r="AD267" s="703"/>
      <c r="AE267" s="703"/>
      <c r="AF267" s="703"/>
      <c r="AG267" s="703"/>
    </row>
    <row r="268" spans="1:33" s="702" customFormat="1" ht="152.1" customHeight="1" x14ac:dyDescent="0.25">
      <c r="A268" s="658">
        <v>221</v>
      </c>
      <c r="B268" s="759" t="s">
        <v>1498</v>
      </c>
      <c r="C268" s="759">
        <v>43191501</v>
      </c>
      <c r="D268" s="660" t="s">
        <v>1499</v>
      </c>
      <c r="E268" s="759" t="s">
        <v>48</v>
      </c>
      <c r="F268" s="759">
        <v>1</v>
      </c>
      <c r="G268" s="661" t="s">
        <v>79</v>
      </c>
      <c r="H268" s="662" t="s">
        <v>156</v>
      </c>
      <c r="I268" s="759" t="s">
        <v>53</v>
      </c>
      <c r="J268" s="759" t="s">
        <v>35</v>
      </c>
      <c r="K268" s="759" t="s">
        <v>1500</v>
      </c>
      <c r="L268" s="663">
        <v>2749000</v>
      </c>
      <c r="M268" s="664">
        <v>2749000</v>
      </c>
      <c r="N268" s="759" t="s">
        <v>51</v>
      </c>
      <c r="O268" s="759" t="s">
        <v>36</v>
      </c>
      <c r="P268" s="759" t="s">
        <v>320</v>
      </c>
      <c r="Q268" s="80"/>
      <c r="R268" s="665" t="s">
        <v>1554</v>
      </c>
      <c r="S268" s="665" t="s">
        <v>1555</v>
      </c>
      <c r="T268" s="691">
        <v>43256</v>
      </c>
      <c r="U268" s="665" t="s">
        <v>1556</v>
      </c>
      <c r="V268" s="665" t="s">
        <v>1226</v>
      </c>
      <c r="W268" s="692">
        <v>2749000</v>
      </c>
      <c r="X268" s="731">
        <v>0</v>
      </c>
      <c r="Y268" s="692">
        <v>2749000</v>
      </c>
      <c r="Z268" s="692">
        <v>2749000</v>
      </c>
      <c r="AA268" s="665" t="s">
        <v>1557</v>
      </c>
      <c r="AB268" s="733">
        <v>25318</v>
      </c>
      <c r="AC268" s="665" t="s">
        <v>1558</v>
      </c>
      <c r="AD268" s="691">
        <v>43256</v>
      </c>
      <c r="AE268" s="691">
        <v>43285</v>
      </c>
      <c r="AF268" s="665" t="s">
        <v>795</v>
      </c>
      <c r="AG268" s="665" t="s">
        <v>796</v>
      </c>
    </row>
    <row r="269" spans="1:33" s="702" customFormat="1" ht="152.1" customHeight="1" x14ac:dyDescent="0.25">
      <c r="A269" s="658">
        <v>222</v>
      </c>
      <c r="B269" s="759" t="s">
        <v>264</v>
      </c>
      <c r="C269" s="659">
        <v>72102900</v>
      </c>
      <c r="D269" s="660" t="s">
        <v>56</v>
      </c>
      <c r="E269" s="759" t="s">
        <v>48</v>
      </c>
      <c r="F269" s="759">
        <v>1</v>
      </c>
      <c r="G269" s="661" t="s">
        <v>79</v>
      </c>
      <c r="H269" s="662" t="s">
        <v>652</v>
      </c>
      <c r="I269" s="759" t="s">
        <v>50</v>
      </c>
      <c r="J269" s="759" t="s">
        <v>35</v>
      </c>
      <c r="K269" s="759" t="s">
        <v>57</v>
      </c>
      <c r="L269" s="663">
        <v>94000000</v>
      </c>
      <c r="M269" s="664">
        <v>94000000</v>
      </c>
      <c r="N269" s="759" t="s">
        <v>51</v>
      </c>
      <c r="O269" s="759" t="s">
        <v>36</v>
      </c>
      <c r="P269" s="759" t="s">
        <v>320</v>
      </c>
      <c r="Q269" s="80"/>
      <c r="R269" s="665" t="s">
        <v>1617</v>
      </c>
      <c r="S269" s="665" t="s">
        <v>1618</v>
      </c>
      <c r="T269" s="691">
        <v>43297</v>
      </c>
      <c r="U269" s="665" t="s">
        <v>1619</v>
      </c>
      <c r="V269" s="665" t="s">
        <v>657</v>
      </c>
      <c r="W269" s="692">
        <v>80180354</v>
      </c>
      <c r="X269" s="767"/>
      <c r="Y269" s="692">
        <v>80180354</v>
      </c>
      <c r="Z269" s="692">
        <v>80180354</v>
      </c>
      <c r="AA269" s="665" t="s">
        <v>1620</v>
      </c>
      <c r="AB269" s="733">
        <v>25418</v>
      </c>
      <c r="AC269" s="665" t="s">
        <v>1621</v>
      </c>
      <c r="AD269" s="691">
        <v>43297</v>
      </c>
      <c r="AE269" s="691">
        <v>43449</v>
      </c>
      <c r="AF269" s="665" t="s">
        <v>1622</v>
      </c>
      <c r="AG269" s="665" t="s">
        <v>661</v>
      </c>
    </row>
    <row r="270" spans="1:33" s="702" customFormat="1" ht="152.1" customHeight="1" x14ac:dyDescent="0.25">
      <c r="A270" s="658">
        <v>223</v>
      </c>
      <c r="B270" s="759" t="s">
        <v>1511</v>
      </c>
      <c r="C270" s="759">
        <v>14111704</v>
      </c>
      <c r="D270" s="660" t="s">
        <v>1513</v>
      </c>
      <c r="E270" s="759" t="s">
        <v>48</v>
      </c>
      <c r="F270" s="759">
        <v>1</v>
      </c>
      <c r="G270" s="661" t="s">
        <v>79</v>
      </c>
      <c r="H270" s="662" t="s">
        <v>156</v>
      </c>
      <c r="I270" s="759" t="s">
        <v>53</v>
      </c>
      <c r="J270" s="759" t="s">
        <v>35</v>
      </c>
      <c r="K270" s="759" t="s">
        <v>1512</v>
      </c>
      <c r="L270" s="663">
        <v>600000</v>
      </c>
      <c r="M270" s="664">
        <v>600000</v>
      </c>
      <c r="N270" s="759" t="s">
        <v>51</v>
      </c>
      <c r="O270" s="759" t="s">
        <v>36</v>
      </c>
      <c r="P270" s="759" t="s">
        <v>320</v>
      </c>
      <c r="Q270" s="80"/>
      <c r="R270" s="665" t="s">
        <v>1581</v>
      </c>
      <c r="S270" s="665" t="s">
        <v>1582</v>
      </c>
      <c r="T270" s="691">
        <v>43276</v>
      </c>
      <c r="U270" s="665" t="s">
        <v>1583</v>
      </c>
      <c r="V270" s="665" t="s">
        <v>665</v>
      </c>
      <c r="W270" s="692">
        <v>593300</v>
      </c>
      <c r="X270" s="731">
        <v>0</v>
      </c>
      <c r="Y270" s="692">
        <v>593300</v>
      </c>
      <c r="Z270" s="692">
        <v>593300</v>
      </c>
      <c r="AA270" s="665" t="s">
        <v>1548</v>
      </c>
      <c r="AB270" s="733">
        <v>26218</v>
      </c>
      <c r="AC270" s="665" t="s">
        <v>1584</v>
      </c>
      <c r="AD270" s="691">
        <v>43276</v>
      </c>
      <c r="AE270" s="691">
        <v>43305</v>
      </c>
      <c r="AF270" s="665" t="s">
        <v>1585</v>
      </c>
      <c r="AG270" s="665" t="s">
        <v>661</v>
      </c>
    </row>
    <row r="271" spans="1:33" s="702" customFormat="1" ht="136.5" customHeight="1" x14ac:dyDescent="0.25">
      <c r="A271" s="658">
        <f>+A270+1</f>
        <v>224</v>
      </c>
      <c r="B271" s="759" t="s">
        <v>521</v>
      </c>
      <c r="C271" s="759">
        <v>80101706</v>
      </c>
      <c r="D271" s="660" t="s">
        <v>1521</v>
      </c>
      <c r="E271" s="759" t="s">
        <v>48</v>
      </c>
      <c r="F271" s="759">
        <v>1</v>
      </c>
      <c r="G271" s="661" t="s">
        <v>166</v>
      </c>
      <c r="H271" s="662" t="s">
        <v>652</v>
      </c>
      <c r="I271" s="759" t="s">
        <v>61</v>
      </c>
      <c r="J271" s="759" t="s">
        <v>66</v>
      </c>
      <c r="K271" s="759" t="s">
        <v>610</v>
      </c>
      <c r="L271" s="663">
        <v>62095000</v>
      </c>
      <c r="M271" s="664">
        <v>62095000</v>
      </c>
      <c r="N271" s="759" t="s">
        <v>51</v>
      </c>
      <c r="O271" s="759" t="s">
        <v>36</v>
      </c>
      <c r="P271" s="759" t="s">
        <v>523</v>
      </c>
      <c r="Q271" s="80"/>
      <c r="R271" s="665" t="s">
        <v>1623</v>
      </c>
      <c r="S271" s="665" t="s">
        <v>801</v>
      </c>
      <c r="T271" s="691">
        <v>43294</v>
      </c>
      <c r="U271" s="665" t="s">
        <v>1624</v>
      </c>
      <c r="V271" s="665" t="s">
        <v>672</v>
      </c>
      <c r="W271" s="692">
        <v>62095000</v>
      </c>
      <c r="X271" s="767"/>
      <c r="Y271" s="692">
        <v>62095000</v>
      </c>
      <c r="Z271" s="692">
        <v>62095000</v>
      </c>
      <c r="AA271" s="665" t="s">
        <v>1625</v>
      </c>
      <c r="AB271" s="733"/>
      <c r="AC271" s="665" t="s">
        <v>1626</v>
      </c>
      <c r="AD271" s="691">
        <v>43294</v>
      </c>
      <c r="AE271" s="691">
        <v>43455</v>
      </c>
      <c r="AF271" s="665" t="s">
        <v>804</v>
      </c>
      <c r="AG271" s="665" t="s">
        <v>805</v>
      </c>
    </row>
    <row r="272" spans="1:33" s="702" customFormat="1" ht="114" customHeight="1" x14ac:dyDescent="0.25">
      <c r="A272" s="658">
        <f t="shared" ref="A272:A323" si="32">+A271+1</f>
        <v>225</v>
      </c>
      <c r="B272" s="759" t="s">
        <v>521</v>
      </c>
      <c r="C272" s="759">
        <v>80101706</v>
      </c>
      <c r="D272" s="660" t="s">
        <v>1521</v>
      </c>
      <c r="E272" s="759" t="s">
        <v>48</v>
      </c>
      <c r="F272" s="759">
        <v>1</v>
      </c>
      <c r="G272" s="661" t="s">
        <v>166</v>
      </c>
      <c r="H272" s="662">
        <v>5.4666666666666668</v>
      </c>
      <c r="I272" s="759" t="s">
        <v>61</v>
      </c>
      <c r="J272" s="759" t="s">
        <v>66</v>
      </c>
      <c r="K272" s="759" t="s">
        <v>610</v>
      </c>
      <c r="L272" s="663">
        <v>27377067</v>
      </c>
      <c r="M272" s="664">
        <f>+L272</f>
        <v>27377067</v>
      </c>
      <c r="N272" s="759" t="s">
        <v>51</v>
      </c>
      <c r="O272" s="759" t="s">
        <v>36</v>
      </c>
      <c r="P272" s="759" t="s">
        <v>523</v>
      </c>
      <c r="Q272" s="80"/>
      <c r="R272" s="665" t="s">
        <v>1627</v>
      </c>
      <c r="S272" s="665" t="s">
        <v>807</v>
      </c>
      <c r="T272" s="691">
        <v>43294</v>
      </c>
      <c r="U272" s="665" t="s">
        <v>1628</v>
      </c>
      <c r="V272" s="665" t="s">
        <v>672</v>
      </c>
      <c r="W272" s="692">
        <v>27377067</v>
      </c>
      <c r="X272" s="767"/>
      <c r="Y272" s="692">
        <v>27377067</v>
      </c>
      <c r="Z272" s="692">
        <v>27377067</v>
      </c>
      <c r="AA272" s="665" t="s">
        <v>1629</v>
      </c>
      <c r="AB272" s="733">
        <v>29318</v>
      </c>
      <c r="AC272" s="665" t="s">
        <v>1626</v>
      </c>
      <c r="AD272" s="691">
        <v>43294</v>
      </c>
      <c r="AE272" s="691">
        <v>43455</v>
      </c>
      <c r="AF272" s="665" t="s">
        <v>1068</v>
      </c>
      <c r="AG272" s="665" t="s">
        <v>805</v>
      </c>
    </row>
    <row r="273" spans="1:33" s="702" customFormat="1" ht="132.94999999999999" customHeight="1" x14ac:dyDescent="0.25">
      <c r="A273" s="658">
        <f t="shared" si="32"/>
        <v>226</v>
      </c>
      <c r="B273" s="759" t="s">
        <v>521</v>
      </c>
      <c r="C273" s="759">
        <v>80101706</v>
      </c>
      <c r="D273" s="660" t="s">
        <v>1521</v>
      </c>
      <c r="E273" s="759" t="s">
        <v>48</v>
      </c>
      <c r="F273" s="759">
        <v>1</v>
      </c>
      <c r="G273" s="661" t="s">
        <v>166</v>
      </c>
      <c r="H273" s="662">
        <v>5.4666666666666668</v>
      </c>
      <c r="I273" s="759" t="s">
        <v>61</v>
      </c>
      <c r="J273" s="759" t="s">
        <v>66</v>
      </c>
      <c r="K273" s="759" t="s">
        <v>610</v>
      </c>
      <c r="L273" s="663">
        <v>39174133</v>
      </c>
      <c r="M273" s="664">
        <f t="shared" ref="M273:M300" si="33">+L273</f>
        <v>39174133</v>
      </c>
      <c r="N273" s="759" t="s">
        <v>51</v>
      </c>
      <c r="O273" s="759" t="s">
        <v>36</v>
      </c>
      <c r="P273" s="759" t="s">
        <v>523</v>
      </c>
      <c r="Q273" s="80"/>
      <c r="R273" s="665" t="s">
        <v>1630</v>
      </c>
      <c r="S273" s="665" t="s">
        <v>815</v>
      </c>
      <c r="T273" s="691">
        <v>43300</v>
      </c>
      <c r="U273" s="665" t="s">
        <v>1631</v>
      </c>
      <c r="V273" s="665" t="s">
        <v>672</v>
      </c>
      <c r="W273" s="692">
        <v>39174133</v>
      </c>
      <c r="X273" s="767"/>
      <c r="Y273" s="692">
        <v>39174133</v>
      </c>
      <c r="Z273" s="692">
        <v>39174133</v>
      </c>
      <c r="AA273" s="665" t="s">
        <v>1632</v>
      </c>
      <c r="AB273" s="733">
        <v>29618</v>
      </c>
      <c r="AC273" s="665" t="s">
        <v>1626</v>
      </c>
      <c r="AD273" s="691">
        <v>43304</v>
      </c>
      <c r="AE273" s="691">
        <v>43455</v>
      </c>
      <c r="AF273" s="665" t="s">
        <v>1068</v>
      </c>
      <c r="AG273" s="665" t="s">
        <v>805</v>
      </c>
    </row>
    <row r="274" spans="1:33" s="702" customFormat="1" ht="152.1" customHeight="1" x14ac:dyDescent="0.25">
      <c r="A274" s="658">
        <f t="shared" si="32"/>
        <v>227</v>
      </c>
      <c r="B274" s="759" t="s">
        <v>521</v>
      </c>
      <c r="C274" s="759">
        <v>80101706</v>
      </c>
      <c r="D274" s="660" t="s">
        <v>1521</v>
      </c>
      <c r="E274" s="759" t="s">
        <v>48</v>
      </c>
      <c r="F274" s="759">
        <v>1</v>
      </c>
      <c r="G274" s="661" t="s">
        <v>166</v>
      </c>
      <c r="H274" s="662">
        <v>5.3</v>
      </c>
      <c r="I274" s="759" t="s">
        <v>61</v>
      </c>
      <c r="J274" s="759" t="s">
        <v>66</v>
      </c>
      <c r="K274" s="759" t="s">
        <v>610</v>
      </c>
      <c r="L274" s="663">
        <v>47700000</v>
      </c>
      <c r="M274" s="664">
        <f t="shared" si="33"/>
        <v>47700000</v>
      </c>
      <c r="N274" s="759" t="s">
        <v>51</v>
      </c>
      <c r="O274" s="759" t="s">
        <v>36</v>
      </c>
      <c r="P274" s="759" t="s">
        <v>523</v>
      </c>
      <c r="Q274" s="80"/>
      <c r="R274" s="665" t="s">
        <v>1633</v>
      </c>
      <c r="S274" s="665" t="s">
        <v>811</v>
      </c>
      <c r="T274" s="691">
        <v>43308</v>
      </c>
      <c r="U274" s="665" t="s">
        <v>1634</v>
      </c>
      <c r="V274" s="665" t="s">
        <v>672</v>
      </c>
      <c r="W274" s="692">
        <v>45000000</v>
      </c>
      <c r="X274" s="767"/>
      <c r="Y274" s="692">
        <v>45000000</v>
      </c>
      <c r="Z274" s="692">
        <v>45000000</v>
      </c>
      <c r="AA274" s="665" t="s">
        <v>736</v>
      </c>
      <c r="AB274" s="733">
        <v>29718</v>
      </c>
      <c r="AC274" s="665" t="s">
        <v>1635</v>
      </c>
      <c r="AD274" s="691">
        <v>43311</v>
      </c>
      <c r="AE274" s="691">
        <v>43463</v>
      </c>
      <c r="AF274" s="665" t="s">
        <v>1636</v>
      </c>
      <c r="AG274" s="665" t="s">
        <v>805</v>
      </c>
    </row>
    <row r="275" spans="1:33" s="702" customFormat="1" ht="132.94999999999999" customHeight="1" x14ac:dyDescent="0.25">
      <c r="A275" s="658">
        <f t="shared" si="32"/>
        <v>228</v>
      </c>
      <c r="B275" s="759" t="s">
        <v>521</v>
      </c>
      <c r="C275" s="759">
        <v>80101706</v>
      </c>
      <c r="D275" s="660" t="s">
        <v>1521</v>
      </c>
      <c r="E275" s="759" t="s">
        <v>48</v>
      </c>
      <c r="F275" s="759">
        <v>1</v>
      </c>
      <c r="G275" s="661" t="s">
        <v>166</v>
      </c>
      <c r="H275" s="662">
        <v>5.4333333333333336</v>
      </c>
      <c r="I275" s="759" t="s">
        <v>61</v>
      </c>
      <c r="J275" s="759" t="s">
        <v>66</v>
      </c>
      <c r="K275" s="759" t="s">
        <v>610</v>
      </c>
      <c r="L275" s="663">
        <v>15213333</v>
      </c>
      <c r="M275" s="664">
        <f t="shared" si="33"/>
        <v>15213333</v>
      </c>
      <c r="N275" s="759" t="s">
        <v>51</v>
      </c>
      <c r="O275" s="759" t="s">
        <v>36</v>
      </c>
      <c r="P275" s="759" t="s">
        <v>523</v>
      </c>
      <c r="Q275" s="80"/>
      <c r="R275" s="665" t="s">
        <v>1637</v>
      </c>
      <c r="S275" s="665" t="s">
        <v>819</v>
      </c>
      <c r="T275" s="691">
        <v>43300</v>
      </c>
      <c r="U275" s="665" t="s">
        <v>1638</v>
      </c>
      <c r="V275" s="665" t="s">
        <v>672</v>
      </c>
      <c r="W275" s="692">
        <v>15213333</v>
      </c>
      <c r="X275" s="767"/>
      <c r="Y275" s="692">
        <v>15213333</v>
      </c>
      <c r="Z275" s="692">
        <v>15213333</v>
      </c>
      <c r="AA275" s="665" t="s">
        <v>1639</v>
      </c>
      <c r="AB275" s="733">
        <v>29618</v>
      </c>
      <c r="AC275" s="665" t="s">
        <v>1626</v>
      </c>
      <c r="AD275" s="691">
        <v>43305</v>
      </c>
      <c r="AE275" s="691">
        <v>43455</v>
      </c>
      <c r="AF275" s="665" t="s">
        <v>1640</v>
      </c>
      <c r="AG275" s="665" t="s">
        <v>823</v>
      </c>
    </row>
    <row r="276" spans="1:33" s="702" customFormat="1" ht="152.1" customHeight="1" x14ac:dyDescent="0.25">
      <c r="A276" s="658">
        <f t="shared" si="32"/>
        <v>229</v>
      </c>
      <c r="B276" s="759" t="s">
        <v>170</v>
      </c>
      <c r="C276" s="759">
        <v>80101706</v>
      </c>
      <c r="D276" s="660" t="s">
        <v>1522</v>
      </c>
      <c r="E276" s="759" t="s">
        <v>48</v>
      </c>
      <c r="F276" s="759">
        <v>1</v>
      </c>
      <c r="G276" s="661" t="s">
        <v>166</v>
      </c>
      <c r="H276" s="662" t="s">
        <v>652</v>
      </c>
      <c r="I276" s="759" t="s">
        <v>61</v>
      </c>
      <c r="J276" s="759" t="s">
        <v>66</v>
      </c>
      <c r="K276" s="759" t="s">
        <v>601</v>
      </c>
      <c r="L276" s="663">
        <v>37590000</v>
      </c>
      <c r="M276" s="664">
        <f t="shared" si="33"/>
        <v>37590000</v>
      </c>
      <c r="N276" s="759" t="s">
        <v>51</v>
      </c>
      <c r="O276" s="759" t="s">
        <v>36</v>
      </c>
      <c r="P276" s="759" t="s">
        <v>525</v>
      </c>
      <c r="Q276" s="80"/>
      <c r="R276" s="665" t="s">
        <v>1592</v>
      </c>
      <c r="S276" s="665" t="s">
        <v>777</v>
      </c>
      <c r="T276" s="691">
        <v>43285</v>
      </c>
      <c r="U276" s="665" t="s">
        <v>1641</v>
      </c>
      <c r="V276" s="665" t="s">
        <v>672</v>
      </c>
      <c r="W276" s="692">
        <v>35700000</v>
      </c>
      <c r="X276" s="692"/>
      <c r="Y276" s="692">
        <v>35700000</v>
      </c>
      <c r="Z276" s="692">
        <v>35700000</v>
      </c>
      <c r="AA276" s="665" t="s">
        <v>1642</v>
      </c>
      <c r="AB276" s="665">
        <v>26418</v>
      </c>
      <c r="AC276" s="665" t="s">
        <v>1626</v>
      </c>
      <c r="AD276" s="691">
        <v>43286</v>
      </c>
      <c r="AE276" s="691">
        <v>43455</v>
      </c>
      <c r="AF276" s="665" t="s">
        <v>1643</v>
      </c>
      <c r="AG276" s="665" t="s">
        <v>781</v>
      </c>
    </row>
    <row r="277" spans="1:33" s="702" customFormat="1" ht="92.1" customHeight="1" x14ac:dyDescent="0.25">
      <c r="A277" s="586">
        <f t="shared" si="32"/>
        <v>230</v>
      </c>
      <c r="B277" s="587" t="s">
        <v>170</v>
      </c>
      <c r="C277" s="587">
        <v>80101706</v>
      </c>
      <c r="D277" s="589" t="s">
        <v>1522</v>
      </c>
      <c r="E277" s="587" t="s">
        <v>48</v>
      </c>
      <c r="F277" s="587">
        <v>1</v>
      </c>
      <c r="G277" s="590" t="s">
        <v>166</v>
      </c>
      <c r="H277" s="591">
        <v>5.2</v>
      </c>
      <c r="I277" s="587" t="s">
        <v>61</v>
      </c>
      <c r="J277" s="587" t="s">
        <v>66</v>
      </c>
      <c r="K277" s="587" t="s">
        <v>601</v>
      </c>
      <c r="L277" s="592">
        <v>33800000</v>
      </c>
      <c r="M277" s="593">
        <f t="shared" si="33"/>
        <v>33800000</v>
      </c>
      <c r="N277" s="587" t="s">
        <v>51</v>
      </c>
      <c r="O277" s="587" t="s">
        <v>36</v>
      </c>
      <c r="P277" s="587" t="s">
        <v>525</v>
      </c>
      <c r="Q277" s="80"/>
      <c r="R277" s="703"/>
      <c r="S277" s="703"/>
      <c r="T277" s="703"/>
      <c r="U277" s="703"/>
      <c r="V277" s="703"/>
      <c r="W277" s="703"/>
      <c r="X277" s="703"/>
      <c r="Y277" s="703"/>
      <c r="Z277" s="703"/>
      <c r="AA277" s="703"/>
      <c r="AB277" s="703"/>
      <c r="AC277" s="703"/>
      <c r="AD277" s="703"/>
      <c r="AE277" s="703"/>
      <c r="AF277" s="703"/>
      <c r="AG277" s="703"/>
    </row>
    <row r="278" spans="1:33" s="702" customFormat="1" ht="92.1" customHeight="1" x14ac:dyDescent="0.25">
      <c r="A278" s="586">
        <f t="shared" si="32"/>
        <v>231</v>
      </c>
      <c r="B278" s="587" t="s">
        <v>170</v>
      </c>
      <c r="C278" s="587">
        <v>80101706</v>
      </c>
      <c r="D278" s="589" t="s">
        <v>1522</v>
      </c>
      <c r="E278" s="587" t="s">
        <v>48</v>
      </c>
      <c r="F278" s="587">
        <v>1</v>
      </c>
      <c r="G278" s="590" t="s">
        <v>166</v>
      </c>
      <c r="H278" s="591">
        <v>4.7333333333333334</v>
      </c>
      <c r="I278" s="587" t="s">
        <v>61</v>
      </c>
      <c r="J278" s="587" t="s">
        <v>66</v>
      </c>
      <c r="K278" s="587" t="s">
        <v>1534</v>
      </c>
      <c r="L278" s="592">
        <v>28400000</v>
      </c>
      <c r="M278" s="593">
        <f t="shared" si="33"/>
        <v>28400000</v>
      </c>
      <c r="N278" s="587" t="s">
        <v>51</v>
      </c>
      <c r="O278" s="587" t="s">
        <v>36</v>
      </c>
      <c r="P278" s="587" t="s">
        <v>525</v>
      </c>
      <c r="Q278" s="80"/>
      <c r="R278" s="703"/>
      <c r="S278" s="703"/>
      <c r="T278" s="703"/>
      <c r="U278" s="703"/>
      <c r="V278" s="703"/>
      <c r="W278" s="703"/>
      <c r="X278" s="703"/>
      <c r="Y278" s="703"/>
      <c r="Z278" s="703"/>
      <c r="AA278" s="703"/>
      <c r="AB278" s="703"/>
      <c r="AC278" s="703"/>
      <c r="AD278" s="703"/>
      <c r="AE278" s="703"/>
      <c r="AF278" s="703"/>
      <c r="AG278" s="703"/>
    </row>
    <row r="279" spans="1:33" s="702" customFormat="1" ht="152.1" customHeight="1" x14ac:dyDescent="0.25">
      <c r="A279" s="658">
        <f t="shared" si="32"/>
        <v>232</v>
      </c>
      <c r="B279" s="759" t="s">
        <v>1518</v>
      </c>
      <c r="C279" s="759">
        <v>80101706</v>
      </c>
      <c r="D279" s="660" t="s">
        <v>1523</v>
      </c>
      <c r="E279" s="759" t="s">
        <v>48</v>
      </c>
      <c r="F279" s="759">
        <v>1</v>
      </c>
      <c r="G279" s="661" t="s">
        <v>166</v>
      </c>
      <c r="H279" s="662">
        <v>5.3666666666666663</v>
      </c>
      <c r="I279" s="759" t="s">
        <v>61</v>
      </c>
      <c r="J279" s="759" t="s">
        <v>66</v>
      </c>
      <c r="K279" s="759" t="s">
        <v>601</v>
      </c>
      <c r="L279" s="663">
        <v>28073033</v>
      </c>
      <c r="M279" s="664">
        <f t="shared" si="33"/>
        <v>28073033</v>
      </c>
      <c r="N279" s="759" t="s">
        <v>51</v>
      </c>
      <c r="O279" s="759" t="s">
        <v>36</v>
      </c>
      <c r="P279" s="759" t="s">
        <v>1532</v>
      </c>
      <c r="Q279" s="80"/>
      <c r="R279" s="665" t="s">
        <v>1644</v>
      </c>
      <c r="S279" s="665" t="s">
        <v>726</v>
      </c>
      <c r="T279" s="691">
        <v>43292</v>
      </c>
      <c r="U279" s="665" t="s">
        <v>1645</v>
      </c>
      <c r="V279" s="665" t="s">
        <v>672</v>
      </c>
      <c r="W279" s="692">
        <v>28073033</v>
      </c>
      <c r="X279" s="692"/>
      <c r="Y279" s="692">
        <v>28073033</v>
      </c>
      <c r="Z279" s="692">
        <v>28073033</v>
      </c>
      <c r="AA279" s="665" t="s">
        <v>1646</v>
      </c>
      <c r="AB279" s="665">
        <v>26618</v>
      </c>
      <c r="AC279" s="665" t="s">
        <v>1626</v>
      </c>
      <c r="AD279" s="691">
        <v>43292</v>
      </c>
      <c r="AE279" s="691">
        <v>43455</v>
      </c>
      <c r="AF279" s="665" t="s">
        <v>1647</v>
      </c>
      <c r="AG279" s="665" t="s">
        <v>829</v>
      </c>
    </row>
    <row r="280" spans="1:33" s="702" customFormat="1" ht="189.95" customHeight="1" x14ac:dyDescent="0.25">
      <c r="A280" s="658">
        <f t="shared" si="32"/>
        <v>233</v>
      </c>
      <c r="B280" s="759" t="s">
        <v>1518</v>
      </c>
      <c r="C280" s="759">
        <v>80101706</v>
      </c>
      <c r="D280" s="660" t="s">
        <v>1523</v>
      </c>
      <c r="E280" s="759" t="s">
        <v>48</v>
      </c>
      <c r="F280" s="759">
        <v>1</v>
      </c>
      <c r="G280" s="661" t="s">
        <v>166</v>
      </c>
      <c r="H280" s="662" t="s">
        <v>652</v>
      </c>
      <c r="I280" s="759" t="s">
        <v>61</v>
      </c>
      <c r="J280" s="759" t="s">
        <v>66</v>
      </c>
      <c r="K280" s="759" t="s">
        <v>601</v>
      </c>
      <c r="L280" s="663">
        <v>10944933</v>
      </c>
      <c r="M280" s="664">
        <f t="shared" si="33"/>
        <v>10944933</v>
      </c>
      <c r="N280" s="759" t="s">
        <v>51</v>
      </c>
      <c r="O280" s="759" t="s">
        <v>36</v>
      </c>
      <c r="P280" s="759" t="s">
        <v>1532</v>
      </c>
      <c r="Q280" s="80"/>
      <c r="R280" s="665" t="s">
        <v>1648</v>
      </c>
      <c r="S280" s="665" t="s">
        <v>1649</v>
      </c>
      <c r="T280" s="691">
        <v>43292</v>
      </c>
      <c r="U280" s="665" t="s">
        <v>1650</v>
      </c>
      <c r="V280" s="665" t="s">
        <v>679</v>
      </c>
      <c r="W280" s="692">
        <v>10244966</v>
      </c>
      <c r="X280" s="692"/>
      <c r="Y280" s="692">
        <v>10244966</v>
      </c>
      <c r="Z280" s="692">
        <v>10244966</v>
      </c>
      <c r="AA280" s="665" t="s">
        <v>1651</v>
      </c>
      <c r="AB280" s="665">
        <v>26718</v>
      </c>
      <c r="AC280" s="665" t="s">
        <v>1626</v>
      </c>
      <c r="AD280" s="691">
        <v>43294</v>
      </c>
      <c r="AE280" s="691">
        <v>43455</v>
      </c>
      <c r="AF280" s="665" t="s">
        <v>1652</v>
      </c>
      <c r="AG280" s="665" t="s">
        <v>829</v>
      </c>
    </row>
    <row r="281" spans="1:33" s="702" customFormat="1" ht="171" customHeight="1" x14ac:dyDescent="0.25">
      <c r="A281" s="658">
        <f t="shared" si="32"/>
        <v>234</v>
      </c>
      <c r="B281" s="759" t="s">
        <v>838</v>
      </c>
      <c r="C281" s="759">
        <v>80101706</v>
      </c>
      <c r="D281" s="660" t="s">
        <v>1524</v>
      </c>
      <c r="E281" s="759" t="s">
        <v>48</v>
      </c>
      <c r="F281" s="759">
        <v>1</v>
      </c>
      <c r="G281" s="661" t="s">
        <v>166</v>
      </c>
      <c r="H281" s="662">
        <v>5.4333333333333336</v>
      </c>
      <c r="I281" s="759" t="s">
        <v>61</v>
      </c>
      <c r="J281" s="759" t="s">
        <v>66</v>
      </c>
      <c r="K281" s="759" t="s">
        <v>601</v>
      </c>
      <c r="L281" s="663">
        <v>27166667</v>
      </c>
      <c r="M281" s="664">
        <f t="shared" si="33"/>
        <v>27166667</v>
      </c>
      <c r="N281" s="759" t="s">
        <v>51</v>
      </c>
      <c r="O281" s="759" t="s">
        <v>36</v>
      </c>
      <c r="P281" s="759" t="s">
        <v>544</v>
      </c>
      <c r="Q281" s="80"/>
      <c r="R281" s="665" t="s">
        <v>1653</v>
      </c>
      <c r="S281" s="665" t="s">
        <v>834</v>
      </c>
      <c r="T281" s="691">
        <v>43294</v>
      </c>
      <c r="U281" s="665" t="s">
        <v>1654</v>
      </c>
      <c r="V281" s="665" t="s">
        <v>672</v>
      </c>
      <c r="W281" s="692">
        <v>26834000</v>
      </c>
      <c r="X281" s="692"/>
      <c r="Y281" s="692">
        <v>26834000</v>
      </c>
      <c r="Z281" s="692">
        <v>26834000</v>
      </c>
      <c r="AA281" s="665" t="s">
        <v>1655</v>
      </c>
      <c r="AB281" s="665">
        <v>27018</v>
      </c>
      <c r="AC281" s="691" t="s">
        <v>1626</v>
      </c>
      <c r="AD281" s="691">
        <v>43297</v>
      </c>
      <c r="AE281" s="665">
        <v>43455</v>
      </c>
      <c r="AF281" s="665" t="s">
        <v>1656</v>
      </c>
      <c r="AG281" s="665" t="s">
        <v>838</v>
      </c>
    </row>
    <row r="282" spans="1:33" s="702" customFormat="1" ht="95.1" customHeight="1" x14ac:dyDescent="0.25">
      <c r="A282" s="658">
        <f t="shared" si="32"/>
        <v>235</v>
      </c>
      <c r="B282" s="759" t="s">
        <v>838</v>
      </c>
      <c r="C282" s="759">
        <v>80101706</v>
      </c>
      <c r="D282" s="660" t="s">
        <v>1524</v>
      </c>
      <c r="E282" s="759" t="s">
        <v>48</v>
      </c>
      <c r="F282" s="759">
        <v>1</v>
      </c>
      <c r="G282" s="661" t="s">
        <v>166</v>
      </c>
      <c r="H282" s="662">
        <v>5.4333333333333336</v>
      </c>
      <c r="I282" s="759" t="s">
        <v>61</v>
      </c>
      <c r="J282" s="759" t="s">
        <v>66</v>
      </c>
      <c r="K282" s="759" t="s">
        <v>601</v>
      </c>
      <c r="L282" s="663">
        <v>27166667</v>
      </c>
      <c r="M282" s="664">
        <f t="shared" si="33"/>
        <v>27166667</v>
      </c>
      <c r="N282" s="759" t="s">
        <v>51</v>
      </c>
      <c r="O282" s="759" t="s">
        <v>36</v>
      </c>
      <c r="P282" s="759" t="s">
        <v>544</v>
      </c>
      <c r="Q282" s="80"/>
      <c r="R282" s="665" t="s">
        <v>1657</v>
      </c>
      <c r="S282" s="665" t="s">
        <v>1658</v>
      </c>
      <c r="T282" s="691">
        <v>43290</v>
      </c>
      <c r="U282" s="665" t="s">
        <v>1659</v>
      </c>
      <c r="V282" s="665" t="s">
        <v>672</v>
      </c>
      <c r="W282" s="692">
        <v>28500000</v>
      </c>
      <c r="X282" s="692"/>
      <c r="Y282" s="692">
        <v>28500000</v>
      </c>
      <c r="Z282" s="692">
        <v>28500000</v>
      </c>
      <c r="AA282" s="665" t="s">
        <v>1660</v>
      </c>
      <c r="AB282" s="665">
        <v>26918</v>
      </c>
      <c r="AC282" s="691" t="s">
        <v>923</v>
      </c>
      <c r="AD282" s="691">
        <v>43290</v>
      </c>
      <c r="AE282" s="665">
        <v>43381</v>
      </c>
      <c r="AF282" s="665" t="s">
        <v>1647</v>
      </c>
      <c r="AG282" s="665" t="s">
        <v>829</v>
      </c>
    </row>
    <row r="283" spans="1:33" s="702" customFormat="1" ht="92.1" customHeight="1" x14ac:dyDescent="0.25">
      <c r="A283" s="586">
        <f t="shared" si="32"/>
        <v>236</v>
      </c>
      <c r="B283" s="587" t="s">
        <v>838</v>
      </c>
      <c r="C283" s="587">
        <v>80101706</v>
      </c>
      <c r="D283" s="589" t="s">
        <v>1524</v>
      </c>
      <c r="E283" s="587" t="s">
        <v>48</v>
      </c>
      <c r="F283" s="587">
        <v>1</v>
      </c>
      <c r="G283" s="590" t="s">
        <v>166</v>
      </c>
      <c r="H283" s="591" t="s">
        <v>652</v>
      </c>
      <c r="I283" s="587" t="s">
        <v>61</v>
      </c>
      <c r="J283" s="587" t="s">
        <v>66</v>
      </c>
      <c r="K283" s="587" t="s">
        <v>601</v>
      </c>
      <c r="L283" s="592">
        <v>44450533</v>
      </c>
      <c r="M283" s="593">
        <f t="shared" si="33"/>
        <v>44450533</v>
      </c>
      <c r="N283" s="587" t="s">
        <v>51</v>
      </c>
      <c r="O283" s="587" t="s">
        <v>36</v>
      </c>
      <c r="P283" s="587" t="s">
        <v>544</v>
      </c>
      <c r="Q283" s="80"/>
      <c r="R283" s="703"/>
      <c r="S283" s="703"/>
      <c r="T283" s="703"/>
      <c r="U283" s="703"/>
      <c r="V283" s="703"/>
      <c r="W283" s="719"/>
      <c r="X283" s="719"/>
      <c r="Y283" s="719"/>
      <c r="Z283" s="719"/>
      <c r="AA283" s="703"/>
      <c r="AB283" s="703"/>
      <c r="AC283" s="703"/>
      <c r="AD283" s="703"/>
      <c r="AE283" s="703"/>
      <c r="AF283" s="703"/>
      <c r="AG283" s="703"/>
    </row>
    <row r="284" spans="1:33" s="702" customFormat="1" ht="171" customHeight="1" x14ac:dyDescent="0.25">
      <c r="A284" s="658">
        <f t="shared" si="32"/>
        <v>237</v>
      </c>
      <c r="B284" s="759" t="s">
        <v>843</v>
      </c>
      <c r="C284" s="759">
        <v>80101706</v>
      </c>
      <c r="D284" s="660" t="s">
        <v>1525</v>
      </c>
      <c r="E284" s="759" t="s">
        <v>48</v>
      </c>
      <c r="F284" s="759">
        <v>1</v>
      </c>
      <c r="G284" s="661" t="s">
        <v>166</v>
      </c>
      <c r="H284" s="662" t="s">
        <v>652</v>
      </c>
      <c r="I284" s="759" t="s">
        <v>61</v>
      </c>
      <c r="J284" s="759" t="s">
        <v>66</v>
      </c>
      <c r="K284" s="759" t="s">
        <v>601</v>
      </c>
      <c r="L284" s="663">
        <v>21422500</v>
      </c>
      <c r="M284" s="664">
        <f t="shared" si="33"/>
        <v>21422500</v>
      </c>
      <c r="N284" s="759" t="s">
        <v>51</v>
      </c>
      <c r="O284" s="759" t="s">
        <v>36</v>
      </c>
      <c r="P284" s="759" t="s">
        <v>531</v>
      </c>
      <c r="Q284" s="80"/>
      <c r="R284" s="665" t="s">
        <v>1661</v>
      </c>
      <c r="S284" s="665" t="s">
        <v>273</v>
      </c>
      <c r="T284" s="691">
        <v>43294</v>
      </c>
      <c r="U284" s="665" t="s">
        <v>1662</v>
      </c>
      <c r="V284" s="665" t="s">
        <v>672</v>
      </c>
      <c r="W284" s="692">
        <v>26834000</v>
      </c>
      <c r="X284" s="692"/>
      <c r="Y284" s="692">
        <v>26834000</v>
      </c>
      <c r="Z284" s="692">
        <v>26834000</v>
      </c>
      <c r="AA284" s="665" t="s">
        <v>1655</v>
      </c>
      <c r="AB284" s="665">
        <v>27118</v>
      </c>
      <c r="AC284" s="691" t="s">
        <v>1626</v>
      </c>
      <c r="AD284" s="691">
        <v>43297</v>
      </c>
      <c r="AE284" s="665">
        <v>43455</v>
      </c>
      <c r="AF284" s="665" t="s">
        <v>1656</v>
      </c>
      <c r="AG284" s="665" t="s">
        <v>838</v>
      </c>
    </row>
    <row r="285" spans="1:33" s="702" customFormat="1" ht="92.1" customHeight="1" x14ac:dyDescent="0.25">
      <c r="A285" s="586">
        <f t="shared" si="32"/>
        <v>238</v>
      </c>
      <c r="B285" s="587" t="s">
        <v>843</v>
      </c>
      <c r="C285" s="587">
        <v>80101706</v>
      </c>
      <c r="D285" s="589" t="s">
        <v>1525</v>
      </c>
      <c r="E285" s="587" t="s">
        <v>48</v>
      </c>
      <c r="F285" s="587">
        <v>1</v>
      </c>
      <c r="G285" s="590" t="s">
        <v>166</v>
      </c>
      <c r="H285" s="591">
        <v>5.4666666666666668</v>
      </c>
      <c r="I285" s="587" t="s">
        <v>61</v>
      </c>
      <c r="J285" s="587" t="s">
        <v>66</v>
      </c>
      <c r="K285" s="587" t="s">
        <v>601</v>
      </c>
      <c r="L285" s="592">
        <v>40180000</v>
      </c>
      <c r="M285" s="593">
        <f t="shared" si="33"/>
        <v>40180000</v>
      </c>
      <c r="N285" s="587" t="s">
        <v>51</v>
      </c>
      <c r="O285" s="587" t="s">
        <v>36</v>
      </c>
      <c r="P285" s="587" t="s">
        <v>531</v>
      </c>
      <c r="Q285" s="80"/>
      <c r="R285" s="703"/>
      <c r="S285" s="703"/>
      <c r="T285" s="703"/>
      <c r="U285" s="703"/>
      <c r="V285" s="703"/>
      <c r="W285" s="719"/>
      <c r="X285" s="719"/>
      <c r="Y285" s="719"/>
      <c r="Z285" s="719"/>
      <c r="AA285" s="703"/>
      <c r="AB285" s="703"/>
      <c r="AC285" s="703"/>
      <c r="AD285" s="703"/>
      <c r="AE285" s="703"/>
      <c r="AF285" s="703"/>
      <c r="AG285" s="703"/>
    </row>
    <row r="286" spans="1:33" s="702" customFormat="1" ht="209.1" customHeight="1" x14ac:dyDescent="0.25">
      <c r="A286" s="658">
        <f t="shared" si="32"/>
        <v>239</v>
      </c>
      <c r="B286" s="759" t="s">
        <v>1518</v>
      </c>
      <c r="C286" s="759">
        <v>80101706</v>
      </c>
      <c r="D286" s="660" t="s">
        <v>1523</v>
      </c>
      <c r="E286" s="759" t="s">
        <v>48</v>
      </c>
      <c r="F286" s="759">
        <v>1</v>
      </c>
      <c r="G286" s="661" t="s">
        <v>166</v>
      </c>
      <c r="H286" s="662">
        <v>1.9666666666666666</v>
      </c>
      <c r="I286" s="759" t="s">
        <v>61</v>
      </c>
      <c r="J286" s="759" t="s">
        <v>66</v>
      </c>
      <c r="K286" s="759" t="s">
        <v>610</v>
      </c>
      <c r="L286" s="663">
        <v>11800000</v>
      </c>
      <c r="M286" s="664">
        <f t="shared" si="33"/>
        <v>11800000</v>
      </c>
      <c r="N286" s="759" t="s">
        <v>51</v>
      </c>
      <c r="O286" s="759" t="s">
        <v>36</v>
      </c>
      <c r="P286" s="759" t="s">
        <v>1532</v>
      </c>
      <c r="Q286" s="80"/>
      <c r="R286" s="665" t="s">
        <v>1663</v>
      </c>
      <c r="S286" s="665" t="s">
        <v>746</v>
      </c>
      <c r="T286" s="691">
        <v>43293</v>
      </c>
      <c r="U286" s="665" t="s">
        <v>1664</v>
      </c>
      <c r="V286" s="665" t="s">
        <v>672</v>
      </c>
      <c r="W286" s="692">
        <v>12000000</v>
      </c>
      <c r="X286" s="767"/>
      <c r="Y286" s="692">
        <v>12000000</v>
      </c>
      <c r="Z286" s="692">
        <v>12000000</v>
      </c>
      <c r="AA286" s="665" t="s">
        <v>1665</v>
      </c>
      <c r="AB286" s="665">
        <v>30218</v>
      </c>
      <c r="AC286" s="665" t="s">
        <v>952</v>
      </c>
      <c r="AD286" s="691">
        <v>43294</v>
      </c>
      <c r="AE286" s="691">
        <v>43355</v>
      </c>
      <c r="AF286" s="665" t="s">
        <v>1652</v>
      </c>
      <c r="AG286" s="665" t="s">
        <v>829</v>
      </c>
    </row>
    <row r="287" spans="1:33" s="702" customFormat="1" ht="171" customHeight="1" x14ac:dyDescent="0.25">
      <c r="A287" s="658">
        <f t="shared" si="32"/>
        <v>240</v>
      </c>
      <c r="B287" s="759" t="s">
        <v>1518</v>
      </c>
      <c r="C287" s="759">
        <v>80101706</v>
      </c>
      <c r="D287" s="660" t="s">
        <v>1523</v>
      </c>
      <c r="E287" s="759" t="s">
        <v>48</v>
      </c>
      <c r="F287" s="759">
        <v>1</v>
      </c>
      <c r="G287" s="661" t="s">
        <v>166</v>
      </c>
      <c r="H287" s="662">
        <v>2</v>
      </c>
      <c r="I287" s="759" t="s">
        <v>61</v>
      </c>
      <c r="J287" s="759" t="s">
        <v>66</v>
      </c>
      <c r="K287" s="759" t="s">
        <v>601</v>
      </c>
      <c r="L287" s="663">
        <v>8680000</v>
      </c>
      <c r="M287" s="664">
        <f t="shared" si="33"/>
        <v>8680000</v>
      </c>
      <c r="N287" s="759" t="s">
        <v>51</v>
      </c>
      <c r="O287" s="759" t="s">
        <v>36</v>
      </c>
      <c r="P287" s="759" t="s">
        <v>1532</v>
      </c>
      <c r="Q287" s="80"/>
      <c r="R287" s="665" t="s">
        <v>1666</v>
      </c>
      <c r="S287" s="665" t="s">
        <v>850</v>
      </c>
      <c r="T287" s="691">
        <v>43294</v>
      </c>
      <c r="U287" s="665" t="s">
        <v>1667</v>
      </c>
      <c r="V287" s="665" t="s">
        <v>672</v>
      </c>
      <c r="W287" s="692">
        <v>20643500</v>
      </c>
      <c r="X287" s="767"/>
      <c r="Y287" s="692">
        <v>20643500</v>
      </c>
      <c r="Z287" s="692">
        <v>20643500</v>
      </c>
      <c r="AA287" s="665" t="s">
        <v>1668</v>
      </c>
      <c r="AB287" s="665">
        <v>27318</v>
      </c>
      <c r="AC287" s="665" t="s">
        <v>1626</v>
      </c>
      <c r="AD287" s="691">
        <v>43297</v>
      </c>
      <c r="AE287" s="691">
        <v>43455</v>
      </c>
      <c r="AF287" s="665" t="s">
        <v>1209</v>
      </c>
      <c r="AG287" s="665" t="s">
        <v>843</v>
      </c>
    </row>
    <row r="288" spans="1:33" s="702" customFormat="1" ht="189.95" customHeight="1" x14ac:dyDescent="0.25">
      <c r="A288" s="658">
        <f t="shared" si="32"/>
        <v>241</v>
      </c>
      <c r="B288" s="759" t="s">
        <v>1518</v>
      </c>
      <c r="C288" s="759">
        <v>80101706</v>
      </c>
      <c r="D288" s="660" t="s">
        <v>1523</v>
      </c>
      <c r="E288" s="759" t="s">
        <v>48</v>
      </c>
      <c r="F288" s="759">
        <v>1</v>
      </c>
      <c r="G288" s="661" t="s">
        <v>166</v>
      </c>
      <c r="H288" s="662">
        <v>2.4333333333333331</v>
      </c>
      <c r="I288" s="759" t="s">
        <v>61</v>
      </c>
      <c r="J288" s="759" t="s">
        <v>66</v>
      </c>
      <c r="K288" s="759" t="s">
        <v>601</v>
      </c>
      <c r="L288" s="663">
        <v>38955000</v>
      </c>
      <c r="M288" s="664">
        <f t="shared" si="33"/>
        <v>38955000</v>
      </c>
      <c r="N288" s="759" t="s">
        <v>51</v>
      </c>
      <c r="O288" s="759" t="s">
        <v>36</v>
      </c>
      <c r="P288" s="759" t="s">
        <v>1532</v>
      </c>
      <c r="Q288" s="80"/>
      <c r="R288" s="665" t="s">
        <v>1669</v>
      </c>
      <c r="S288" s="665" t="s">
        <v>856</v>
      </c>
      <c r="T288" s="691">
        <v>43294</v>
      </c>
      <c r="U288" s="665" t="s">
        <v>1670</v>
      </c>
      <c r="V288" s="665" t="s">
        <v>672</v>
      </c>
      <c r="W288" s="692">
        <v>38955000</v>
      </c>
      <c r="X288" s="767"/>
      <c r="Y288" s="692">
        <v>38955000</v>
      </c>
      <c r="Z288" s="692">
        <v>38955000</v>
      </c>
      <c r="AA288" s="665" t="s">
        <v>1671</v>
      </c>
      <c r="AB288" s="665">
        <v>27418</v>
      </c>
      <c r="AC288" s="665" t="s">
        <v>1626</v>
      </c>
      <c r="AD288" s="691">
        <v>43294</v>
      </c>
      <c r="AE288" s="691">
        <v>43455</v>
      </c>
      <c r="AF288" s="665" t="s">
        <v>1209</v>
      </c>
      <c r="AG288" s="665" t="s">
        <v>843</v>
      </c>
    </row>
    <row r="289" spans="1:33" s="702" customFormat="1" ht="132.94999999999999" customHeight="1" x14ac:dyDescent="0.25">
      <c r="A289" s="658">
        <f t="shared" si="32"/>
        <v>242</v>
      </c>
      <c r="B289" s="759" t="s">
        <v>864</v>
      </c>
      <c r="C289" s="759">
        <v>80101706</v>
      </c>
      <c r="D289" s="660" t="s">
        <v>1526</v>
      </c>
      <c r="E289" s="759" t="s">
        <v>48</v>
      </c>
      <c r="F289" s="759">
        <v>1</v>
      </c>
      <c r="G289" s="661" t="s">
        <v>166</v>
      </c>
      <c r="H289" s="662">
        <v>5.4666666666666668</v>
      </c>
      <c r="I289" s="759" t="s">
        <v>61</v>
      </c>
      <c r="J289" s="759" t="s">
        <v>66</v>
      </c>
      <c r="K289" s="759" t="s">
        <v>601</v>
      </c>
      <c r="L289" s="663">
        <v>9211333</v>
      </c>
      <c r="M289" s="664">
        <f t="shared" si="33"/>
        <v>9211333</v>
      </c>
      <c r="N289" s="759" t="s">
        <v>51</v>
      </c>
      <c r="O289" s="759" t="s">
        <v>36</v>
      </c>
      <c r="P289" s="759" t="s">
        <v>533</v>
      </c>
      <c r="Q289" s="80"/>
      <c r="R289" s="665" t="s">
        <v>1672</v>
      </c>
      <c r="S289" s="665" t="s">
        <v>860</v>
      </c>
      <c r="T289" s="691">
        <v>43300</v>
      </c>
      <c r="U289" s="665" t="s">
        <v>1673</v>
      </c>
      <c r="V289" s="665" t="s">
        <v>679</v>
      </c>
      <c r="W289" s="692">
        <v>8705833</v>
      </c>
      <c r="X289" s="767"/>
      <c r="Y289" s="692">
        <v>8705833</v>
      </c>
      <c r="Z289" s="692">
        <v>8705833</v>
      </c>
      <c r="AA289" s="665" t="s">
        <v>1674</v>
      </c>
      <c r="AB289" s="665">
        <v>27518</v>
      </c>
      <c r="AC289" s="665" t="s">
        <v>1626</v>
      </c>
      <c r="AD289" s="691">
        <v>43305</v>
      </c>
      <c r="AE289" s="691">
        <v>43455</v>
      </c>
      <c r="AF289" s="665" t="s">
        <v>1675</v>
      </c>
      <c r="AG289" s="665" t="s">
        <v>864</v>
      </c>
    </row>
    <row r="290" spans="1:33" s="702" customFormat="1" ht="114.95" customHeight="1" x14ac:dyDescent="0.25">
      <c r="A290" s="658">
        <f t="shared" si="32"/>
        <v>243</v>
      </c>
      <c r="B290" s="759" t="s">
        <v>864</v>
      </c>
      <c r="C290" s="759">
        <v>80101706</v>
      </c>
      <c r="D290" s="660" t="s">
        <v>1526</v>
      </c>
      <c r="E290" s="759" t="s">
        <v>48</v>
      </c>
      <c r="F290" s="759">
        <v>1</v>
      </c>
      <c r="G290" s="661" t="s">
        <v>166</v>
      </c>
      <c r="H290" s="662">
        <v>5.2</v>
      </c>
      <c r="I290" s="759" t="s">
        <v>61</v>
      </c>
      <c r="J290" s="759" t="s">
        <v>66</v>
      </c>
      <c r="K290" s="759" t="s">
        <v>601</v>
      </c>
      <c r="L290" s="663">
        <v>38220000</v>
      </c>
      <c r="M290" s="664">
        <f t="shared" si="33"/>
        <v>38220000</v>
      </c>
      <c r="N290" s="759" t="s">
        <v>51</v>
      </c>
      <c r="O290" s="759" t="s">
        <v>36</v>
      </c>
      <c r="P290" s="759" t="s">
        <v>533</v>
      </c>
      <c r="Q290" s="80"/>
      <c r="R290" s="665" t="s">
        <v>1676</v>
      </c>
      <c r="S290" s="665" t="s">
        <v>870</v>
      </c>
      <c r="T290" s="691">
        <v>43312</v>
      </c>
      <c r="U290" s="665" t="s">
        <v>1677</v>
      </c>
      <c r="V290" s="665" t="s">
        <v>672</v>
      </c>
      <c r="W290" s="692">
        <v>36750000</v>
      </c>
      <c r="X290" s="767"/>
      <c r="Y290" s="692">
        <v>36750000</v>
      </c>
      <c r="Z290" s="692">
        <v>36750000</v>
      </c>
      <c r="AA290" s="665" t="s">
        <v>872</v>
      </c>
      <c r="AB290" s="665">
        <v>27618</v>
      </c>
      <c r="AC290" s="665" t="s">
        <v>1635</v>
      </c>
      <c r="AD290" s="691">
        <v>43312</v>
      </c>
      <c r="AE290" s="691">
        <v>43464</v>
      </c>
      <c r="AF290" s="665" t="s">
        <v>1089</v>
      </c>
      <c r="AG290" s="665" t="s">
        <v>864</v>
      </c>
    </row>
    <row r="291" spans="1:33" s="702" customFormat="1" ht="132.94999999999999" customHeight="1" x14ac:dyDescent="0.25">
      <c r="A291" s="658">
        <f t="shared" si="32"/>
        <v>244</v>
      </c>
      <c r="B291" s="759" t="s">
        <v>538</v>
      </c>
      <c r="C291" s="759">
        <v>80101706</v>
      </c>
      <c r="D291" s="660" t="s">
        <v>1527</v>
      </c>
      <c r="E291" s="759" t="s">
        <v>48</v>
      </c>
      <c r="F291" s="759">
        <v>1</v>
      </c>
      <c r="G291" s="661" t="s">
        <v>166</v>
      </c>
      <c r="H291" s="662">
        <v>5.4</v>
      </c>
      <c r="I291" s="759" t="s">
        <v>61</v>
      </c>
      <c r="J291" s="759" t="s">
        <v>66</v>
      </c>
      <c r="K291" s="759" t="s">
        <v>601</v>
      </c>
      <c r="L291" s="663">
        <v>22680000</v>
      </c>
      <c r="M291" s="664">
        <f t="shared" si="33"/>
        <v>22680000</v>
      </c>
      <c r="N291" s="759" t="s">
        <v>51</v>
      </c>
      <c r="O291" s="759" t="s">
        <v>36</v>
      </c>
      <c r="P291" s="759" t="s">
        <v>540</v>
      </c>
      <c r="Q291" s="80"/>
      <c r="R291" s="665" t="s">
        <v>1678</v>
      </c>
      <c r="S291" s="665" t="s">
        <v>1679</v>
      </c>
      <c r="T291" s="691">
        <v>43300</v>
      </c>
      <c r="U291" s="665" t="s">
        <v>1680</v>
      </c>
      <c r="V291" s="665" t="s">
        <v>672</v>
      </c>
      <c r="W291" s="692">
        <v>22260000</v>
      </c>
      <c r="X291" s="767"/>
      <c r="Y291" s="692">
        <v>22260000</v>
      </c>
      <c r="Z291" s="692">
        <v>22260000</v>
      </c>
      <c r="AA291" s="665" t="s">
        <v>1681</v>
      </c>
      <c r="AB291" s="665">
        <v>27718</v>
      </c>
      <c r="AC291" s="665" t="s">
        <v>1626</v>
      </c>
      <c r="AD291" s="691">
        <v>43300</v>
      </c>
      <c r="AE291" s="691">
        <v>43455</v>
      </c>
      <c r="AF291" s="665" t="s">
        <v>1682</v>
      </c>
      <c r="AG291" s="665" t="s">
        <v>538</v>
      </c>
    </row>
    <row r="292" spans="1:33" s="702" customFormat="1" ht="114" customHeight="1" x14ac:dyDescent="0.25">
      <c r="A292" s="658">
        <f t="shared" si="32"/>
        <v>245</v>
      </c>
      <c r="B292" s="759" t="s">
        <v>538</v>
      </c>
      <c r="C292" s="759">
        <v>80101706</v>
      </c>
      <c r="D292" s="660" t="s">
        <v>1527</v>
      </c>
      <c r="E292" s="759" t="s">
        <v>48</v>
      </c>
      <c r="F292" s="759">
        <v>1</v>
      </c>
      <c r="G292" s="661" t="s">
        <v>166</v>
      </c>
      <c r="H292" s="662">
        <v>5.3</v>
      </c>
      <c r="I292" s="759" t="s">
        <v>61</v>
      </c>
      <c r="J292" s="759" t="s">
        <v>66</v>
      </c>
      <c r="K292" s="759" t="s">
        <v>601</v>
      </c>
      <c r="L292" s="663">
        <v>24910000</v>
      </c>
      <c r="M292" s="664">
        <f t="shared" si="33"/>
        <v>24910000</v>
      </c>
      <c r="N292" s="759" t="s">
        <v>51</v>
      </c>
      <c r="O292" s="759" t="s">
        <v>36</v>
      </c>
      <c r="P292" s="759" t="s">
        <v>540</v>
      </c>
      <c r="Q292" s="80"/>
      <c r="R292" s="665" t="s">
        <v>1683</v>
      </c>
      <c r="S292" s="665" t="s">
        <v>1684</v>
      </c>
      <c r="T292" s="691">
        <v>43298</v>
      </c>
      <c r="U292" s="665" t="s">
        <v>1685</v>
      </c>
      <c r="V292" s="665" t="s">
        <v>672</v>
      </c>
      <c r="W292" s="692">
        <v>15213333</v>
      </c>
      <c r="X292" s="767"/>
      <c r="Y292" s="692">
        <v>15213333</v>
      </c>
      <c r="Z292" s="692">
        <v>15213333</v>
      </c>
      <c r="AA292" s="665" t="s">
        <v>1686</v>
      </c>
      <c r="AB292" s="665">
        <v>29618</v>
      </c>
      <c r="AC292" s="665" t="s">
        <v>1626</v>
      </c>
      <c r="AD292" s="691">
        <v>43305</v>
      </c>
      <c r="AE292" s="691">
        <v>43455</v>
      </c>
      <c r="AF292" s="665" t="s">
        <v>822</v>
      </c>
      <c r="AG292" s="665" t="s">
        <v>823</v>
      </c>
    </row>
    <row r="293" spans="1:33" s="702" customFormat="1" ht="132.94999999999999" customHeight="1" x14ac:dyDescent="0.25">
      <c r="A293" s="658">
        <f t="shared" si="32"/>
        <v>246</v>
      </c>
      <c r="B293" s="759" t="s">
        <v>538</v>
      </c>
      <c r="C293" s="759">
        <v>80101706</v>
      </c>
      <c r="D293" s="660" t="s">
        <v>1527</v>
      </c>
      <c r="E293" s="759" t="s">
        <v>48</v>
      </c>
      <c r="F293" s="759">
        <v>1</v>
      </c>
      <c r="G293" s="661" t="s">
        <v>166</v>
      </c>
      <c r="H293" s="662">
        <v>5.2666666666666666</v>
      </c>
      <c r="I293" s="759" t="s">
        <v>61</v>
      </c>
      <c r="J293" s="759" t="s">
        <v>66</v>
      </c>
      <c r="K293" s="759" t="s">
        <v>601</v>
      </c>
      <c r="L293" s="663">
        <v>24753333</v>
      </c>
      <c r="M293" s="664">
        <f t="shared" si="33"/>
        <v>24753333</v>
      </c>
      <c r="N293" s="759" t="s">
        <v>51</v>
      </c>
      <c r="O293" s="759" t="s">
        <v>36</v>
      </c>
      <c r="P293" s="759" t="s">
        <v>540</v>
      </c>
      <c r="Q293" s="80"/>
      <c r="R293" s="665" t="s">
        <v>1687</v>
      </c>
      <c r="S293" s="665" t="s">
        <v>879</v>
      </c>
      <c r="T293" s="691">
        <v>43300</v>
      </c>
      <c r="U293" s="665" t="s">
        <v>1688</v>
      </c>
      <c r="V293" s="665" t="s">
        <v>672</v>
      </c>
      <c r="W293" s="692">
        <v>24400000</v>
      </c>
      <c r="X293" s="767"/>
      <c r="Y293" s="692">
        <v>24400000</v>
      </c>
      <c r="Z293" s="692">
        <v>24400000</v>
      </c>
      <c r="AA293" s="665" t="s">
        <v>1689</v>
      </c>
      <c r="AB293" s="665">
        <v>27918</v>
      </c>
      <c r="AC293" s="665" t="s">
        <v>1626</v>
      </c>
      <c r="AD293" s="691">
        <v>43304</v>
      </c>
      <c r="AE293" s="691">
        <v>43455</v>
      </c>
      <c r="AF293" s="665" t="s">
        <v>877</v>
      </c>
      <c r="AG293" s="665" t="s">
        <v>538</v>
      </c>
    </row>
    <row r="294" spans="1:33" s="702" customFormat="1" ht="114" customHeight="1" x14ac:dyDescent="0.25">
      <c r="A294" s="658">
        <f t="shared" si="32"/>
        <v>247</v>
      </c>
      <c r="B294" s="759" t="s">
        <v>538</v>
      </c>
      <c r="C294" s="759">
        <v>80101706</v>
      </c>
      <c r="D294" s="660" t="s">
        <v>1527</v>
      </c>
      <c r="E294" s="759" t="s">
        <v>48</v>
      </c>
      <c r="F294" s="759">
        <v>1</v>
      </c>
      <c r="G294" s="661" t="s">
        <v>166</v>
      </c>
      <c r="H294" s="662">
        <v>2</v>
      </c>
      <c r="I294" s="759" t="s">
        <v>61</v>
      </c>
      <c r="J294" s="759" t="s">
        <v>66</v>
      </c>
      <c r="K294" s="759" t="s">
        <v>601</v>
      </c>
      <c r="L294" s="663">
        <v>3818000</v>
      </c>
      <c r="M294" s="664">
        <f t="shared" si="33"/>
        <v>3818000</v>
      </c>
      <c r="N294" s="759" t="s">
        <v>51</v>
      </c>
      <c r="O294" s="759" t="s">
        <v>36</v>
      </c>
      <c r="P294" s="759" t="s">
        <v>540</v>
      </c>
      <c r="Q294" s="80"/>
      <c r="R294" s="665" t="s">
        <v>1690</v>
      </c>
      <c r="S294" s="665" t="s">
        <v>1691</v>
      </c>
      <c r="T294" s="691">
        <v>43290</v>
      </c>
      <c r="U294" s="665" t="s">
        <v>1692</v>
      </c>
      <c r="V294" s="665" t="s">
        <v>679</v>
      </c>
      <c r="W294" s="692">
        <v>3818000</v>
      </c>
      <c r="X294" s="692"/>
      <c r="Y294" s="692">
        <v>3818000</v>
      </c>
      <c r="Z294" s="692">
        <v>3818000</v>
      </c>
      <c r="AA294" s="665" t="s">
        <v>1693</v>
      </c>
      <c r="AB294" s="665">
        <v>28018</v>
      </c>
      <c r="AC294" s="665" t="s">
        <v>952</v>
      </c>
      <c r="AD294" s="691">
        <v>43292</v>
      </c>
      <c r="AE294" s="691">
        <v>43353</v>
      </c>
      <c r="AF294" s="665" t="s">
        <v>877</v>
      </c>
      <c r="AG294" s="665" t="s">
        <v>538</v>
      </c>
    </row>
    <row r="295" spans="1:33" s="702" customFormat="1" ht="92.1" customHeight="1" x14ac:dyDescent="0.25">
      <c r="A295" s="586">
        <f t="shared" si="32"/>
        <v>248</v>
      </c>
      <c r="B295" s="587" t="s">
        <v>235</v>
      </c>
      <c r="C295" s="587">
        <v>80101706</v>
      </c>
      <c r="D295" s="589" t="s">
        <v>1528</v>
      </c>
      <c r="E295" s="587" t="s">
        <v>48</v>
      </c>
      <c r="F295" s="587">
        <v>1</v>
      </c>
      <c r="G295" s="590" t="s">
        <v>166</v>
      </c>
      <c r="H295" s="591">
        <v>5.2666666666666666</v>
      </c>
      <c r="I295" s="587" t="s">
        <v>61</v>
      </c>
      <c r="J295" s="587" t="s">
        <v>66</v>
      </c>
      <c r="K295" s="587" t="s">
        <v>610</v>
      </c>
      <c r="L295" s="592">
        <v>30020000</v>
      </c>
      <c r="M295" s="593">
        <f t="shared" si="33"/>
        <v>30020000</v>
      </c>
      <c r="N295" s="587" t="s">
        <v>51</v>
      </c>
      <c r="O295" s="587" t="s">
        <v>36</v>
      </c>
      <c r="P295" s="587" t="s">
        <v>1533</v>
      </c>
      <c r="Q295" s="80"/>
      <c r="R295" s="703"/>
      <c r="S295" s="703"/>
      <c r="T295" s="703"/>
      <c r="U295" s="703"/>
      <c r="V295" s="703"/>
      <c r="W295" s="703"/>
      <c r="X295" s="703"/>
      <c r="Y295" s="703"/>
      <c r="Z295" s="703"/>
      <c r="AA295" s="703"/>
      <c r="AB295" s="703"/>
      <c r="AC295" s="703"/>
      <c r="AD295" s="703"/>
      <c r="AE295" s="703"/>
      <c r="AF295" s="703"/>
      <c r="AG295" s="703"/>
    </row>
    <row r="296" spans="1:33" s="702" customFormat="1" ht="127.5" customHeight="1" x14ac:dyDescent="0.25">
      <c r="A296" s="658">
        <f t="shared" si="32"/>
        <v>249</v>
      </c>
      <c r="B296" s="759" t="s">
        <v>235</v>
      </c>
      <c r="C296" s="759">
        <v>80101706</v>
      </c>
      <c r="D296" s="660" t="s">
        <v>1528</v>
      </c>
      <c r="E296" s="759" t="s">
        <v>48</v>
      </c>
      <c r="F296" s="759">
        <v>1</v>
      </c>
      <c r="G296" s="661" t="s">
        <v>166</v>
      </c>
      <c r="H296" s="662">
        <v>5.4666666666666668</v>
      </c>
      <c r="I296" s="759" t="s">
        <v>61</v>
      </c>
      <c r="J296" s="759" t="s">
        <v>66</v>
      </c>
      <c r="K296" s="759" t="s">
        <v>601</v>
      </c>
      <c r="L296" s="663">
        <v>27377067</v>
      </c>
      <c r="M296" s="664">
        <f t="shared" si="33"/>
        <v>27377067</v>
      </c>
      <c r="N296" s="759" t="s">
        <v>51</v>
      </c>
      <c r="O296" s="759" t="s">
        <v>36</v>
      </c>
      <c r="P296" s="759" t="s">
        <v>1533</v>
      </c>
      <c r="Q296" s="80"/>
      <c r="R296" s="665" t="s">
        <v>1694</v>
      </c>
      <c r="S296" s="665" t="s">
        <v>249</v>
      </c>
      <c r="T296" s="691">
        <v>43294</v>
      </c>
      <c r="U296" s="665" t="s">
        <v>1695</v>
      </c>
      <c r="V296" s="665" t="s">
        <v>672</v>
      </c>
      <c r="W296" s="692">
        <v>27377067</v>
      </c>
      <c r="X296" s="767"/>
      <c r="Y296" s="692">
        <v>27377067</v>
      </c>
      <c r="Z296" s="692">
        <v>27377067</v>
      </c>
      <c r="AA296" s="665" t="s">
        <v>1696</v>
      </c>
      <c r="AB296" s="665">
        <v>28118</v>
      </c>
      <c r="AC296" s="665" t="s">
        <v>1626</v>
      </c>
      <c r="AD296" s="691">
        <v>43298</v>
      </c>
      <c r="AE296" s="691">
        <v>43455</v>
      </c>
      <c r="AF296" s="665" t="s">
        <v>1697</v>
      </c>
      <c r="AG296" s="665" t="s">
        <v>235</v>
      </c>
    </row>
    <row r="297" spans="1:33" s="702" customFormat="1" ht="132.94999999999999" customHeight="1" x14ac:dyDescent="0.25">
      <c r="A297" s="658">
        <f t="shared" si="32"/>
        <v>250</v>
      </c>
      <c r="B297" s="759" t="s">
        <v>235</v>
      </c>
      <c r="C297" s="759">
        <v>80101706</v>
      </c>
      <c r="D297" s="660" t="s">
        <v>1528</v>
      </c>
      <c r="E297" s="759" t="s">
        <v>48</v>
      </c>
      <c r="F297" s="759">
        <v>1</v>
      </c>
      <c r="G297" s="661" t="s">
        <v>166</v>
      </c>
      <c r="H297" s="662">
        <v>5.4666666666666668</v>
      </c>
      <c r="I297" s="759" t="s">
        <v>61</v>
      </c>
      <c r="J297" s="759" t="s">
        <v>66</v>
      </c>
      <c r="K297" s="759" t="s">
        <v>601</v>
      </c>
      <c r="L297" s="663">
        <v>19701867</v>
      </c>
      <c r="M297" s="664">
        <f t="shared" si="33"/>
        <v>19701867</v>
      </c>
      <c r="N297" s="759" t="s">
        <v>51</v>
      </c>
      <c r="O297" s="759" t="s">
        <v>36</v>
      </c>
      <c r="P297" s="759" t="s">
        <v>1533</v>
      </c>
      <c r="Q297" s="80"/>
      <c r="R297" s="665" t="s">
        <v>1698</v>
      </c>
      <c r="S297" s="665" t="s">
        <v>307</v>
      </c>
      <c r="T297" s="691">
        <v>43292</v>
      </c>
      <c r="U297" s="665" t="s">
        <v>1699</v>
      </c>
      <c r="V297" s="665" t="s">
        <v>672</v>
      </c>
      <c r="W297" s="692">
        <v>19701867</v>
      </c>
      <c r="X297" s="692"/>
      <c r="Y297" s="692">
        <v>19701867</v>
      </c>
      <c r="Z297" s="692">
        <v>19701867</v>
      </c>
      <c r="AA297" s="665" t="s">
        <v>1700</v>
      </c>
      <c r="AB297" s="665">
        <v>28218</v>
      </c>
      <c r="AC297" s="665" t="s">
        <v>1626</v>
      </c>
      <c r="AD297" s="691">
        <v>43292</v>
      </c>
      <c r="AE297" s="691">
        <v>43455</v>
      </c>
      <c r="AF297" s="665" t="s">
        <v>1697</v>
      </c>
      <c r="AG297" s="665" t="s">
        <v>235</v>
      </c>
    </row>
    <row r="298" spans="1:33" s="702" customFormat="1" ht="132.94999999999999" customHeight="1" x14ac:dyDescent="0.25">
      <c r="A298" s="658">
        <f t="shared" si="32"/>
        <v>251</v>
      </c>
      <c r="B298" s="759" t="s">
        <v>235</v>
      </c>
      <c r="C298" s="759">
        <v>80101706</v>
      </c>
      <c r="D298" s="660" t="s">
        <v>1528</v>
      </c>
      <c r="E298" s="759" t="s">
        <v>48</v>
      </c>
      <c r="F298" s="759">
        <v>1</v>
      </c>
      <c r="G298" s="661" t="s">
        <v>166</v>
      </c>
      <c r="H298" s="662">
        <v>5.4333333333333336</v>
      </c>
      <c r="I298" s="759" t="s">
        <v>61</v>
      </c>
      <c r="J298" s="759" t="s">
        <v>66</v>
      </c>
      <c r="K298" s="759" t="s">
        <v>601</v>
      </c>
      <c r="L298" s="663">
        <v>29948533</v>
      </c>
      <c r="M298" s="664">
        <f t="shared" si="33"/>
        <v>29948533</v>
      </c>
      <c r="N298" s="759" t="s">
        <v>51</v>
      </c>
      <c r="O298" s="759" t="s">
        <v>36</v>
      </c>
      <c r="P298" s="759" t="s">
        <v>1533</v>
      </c>
      <c r="Q298" s="80"/>
      <c r="R298" s="665" t="s">
        <v>1701</v>
      </c>
      <c r="S298" s="665" t="s">
        <v>913</v>
      </c>
      <c r="T298" s="691">
        <v>43305</v>
      </c>
      <c r="U298" s="665" t="s">
        <v>1702</v>
      </c>
      <c r="V298" s="665" t="s">
        <v>672</v>
      </c>
      <c r="W298" s="692">
        <v>29948533</v>
      </c>
      <c r="X298" s="767"/>
      <c r="Y298" s="692">
        <v>29948533</v>
      </c>
      <c r="Z298" s="692">
        <v>29948533</v>
      </c>
      <c r="AA298" s="665" t="s">
        <v>1703</v>
      </c>
      <c r="AB298" s="665">
        <v>28318</v>
      </c>
      <c r="AC298" s="665" t="s">
        <v>1704</v>
      </c>
      <c r="AD298" s="691">
        <v>43305</v>
      </c>
      <c r="AE298" s="691">
        <v>43462</v>
      </c>
      <c r="AF298" s="665" t="s">
        <v>1705</v>
      </c>
      <c r="AG298" s="665" t="s">
        <v>235</v>
      </c>
    </row>
    <row r="299" spans="1:33" s="702" customFormat="1" ht="114" customHeight="1" x14ac:dyDescent="0.25">
      <c r="A299" s="658">
        <f t="shared" si="32"/>
        <v>252</v>
      </c>
      <c r="B299" s="759" t="s">
        <v>235</v>
      </c>
      <c r="C299" s="759">
        <v>80101706</v>
      </c>
      <c r="D299" s="660" t="s">
        <v>1528</v>
      </c>
      <c r="E299" s="759" t="s">
        <v>48</v>
      </c>
      <c r="F299" s="759">
        <v>1</v>
      </c>
      <c r="G299" s="661" t="s">
        <v>166</v>
      </c>
      <c r="H299" s="662">
        <v>5.2333333333333334</v>
      </c>
      <c r="I299" s="759" t="s">
        <v>61</v>
      </c>
      <c r="J299" s="759" t="s">
        <v>66</v>
      </c>
      <c r="K299" s="759" t="s">
        <v>601</v>
      </c>
      <c r="L299" s="663">
        <v>40574033</v>
      </c>
      <c r="M299" s="664">
        <f t="shared" si="33"/>
        <v>40574033</v>
      </c>
      <c r="N299" s="759" t="s">
        <v>51</v>
      </c>
      <c r="O299" s="759" t="s">
        <v>36</v>
      </c>
      <c r="P299" s="759" t="s">
        <v>1533</v>
      </c>
      <c r="Q299" s="80"/>
      <c r="R299" s="665" t="s">
        <v>1706</v>
      </c>
      <c r="S299" s="665" t="s">
        <v>1707</v>
      </c>
      <c r="T299" s="691">
        <v>43306</v>
      </c>
      <c r="U299" s="665" t="s">
        <v>1708</v>
      </c>
      <c r="V299" s="665" t="s">
        <v>672</v>
      </c>
      <c r="W299" s="692">
        <v>40574033</v>
      </c>
      <c r="X299" s="767"/>
      <c r="Y299" s="692">
        <v>40574033</v>
      </c>
      <c r="Z299" s="692">
        <v>40574033</v>
      </c>
      <c r="AA299" s="665" t="s">
        <v>1709</v>
      </c>
      <c r="AB299" s="665">
        <v>28418</v>
      </c>
      <c r="AC299" s="665" t="s">
        <v>1704</v>
      </c>
      <c r="AD299" s="691">
        <v>43306</v>
      </c>
      <c r="AE299" s="691">
        <v>43462</v>
      </c>
      <c r="AF299" s="665" t="s">
        <v>1705</v>
      </c>
      <c r="AG299" s="665" t="s">
        <v>235</v>
      </c>
    </row>
    <row r="300" spans="1:33" s="702" customFormat="1" ht="95.1" customHeight="1" x14ac:dyDescent="0.25">
      <c r="A300" s="658">
        <f t="shared" si="32"/>
        <v>253</v>
      </c>
      <c r="B300" s="759" t="s">
        <v>235</v>
      </c>
      <c r="C300" s="759">
        <v>80101706</v>
      </c>
      <c r="D300" s="660" t="s">
        <v>1528</v>
      </c>
      <c r="E300" s="759" t="s">
        <v>48</v>
      </c>
      <c r="F300" s="759">
        <v>1</v>
      </c>
      <c r="G300" s="661" t="s">
        <v>166</v>
      </c>
      <c r="H300" s="662">
        <v>5.2</v>
      </c>
      <c r="I300" s="759" t="s">
        <v>61</v>
      </c>
      <c r="J300" s="759" t="s">
        <v>66</v>
      </c>
      <c r="K300" s="759" t="s">
        <v>601</v>
      </c>
      <c r="L300" s="663">
        <v>26041600</v>
      </c>
      <c r="M300" s="664">
        <f t="shared" si="33"/>
        <v>26041600</v>
      </c>
      <c r="N300" s="759" t="s">
        <v>51</v>
      </c>
      <c r="O300" s="759" t="s">
        <v>36</v>
      </c>
      <c r="P300" s="759" t="s">
        <v>1533</v>
      </c>
      <c r="Q300" s="80"/>
      <c r="R300" s="665" t="s">
        <v>1710</v>
      </c>
      <c r="S300" s="665" t="s">
        <v>917</v>
      </c>
      <c r="T300" s="691">
        <v>43305</v>
      </c>
      <c r="U300" s="665" t="s">
        <v>1711</v>
      </c>
      <c r="V300" s="665" t="s">
        <v>672</v>
      </c>
      <c r="W300" s="692">
        <v>26041600</v>
      </c>
      <c r="X300" s="767"/>
      <c r="Y300" s="692">
        <v>26041600</v>
      </c>
      <c r="Z300" s="692">
        <v>26041600</v>
      </c>
      <c r="AA300" s="665" t="s">
        <v>1712</v>
      </c>
      <c r="AB300" s="665">
        <v>28518</v>
      </c>
      <c r="AC300" s="665" t="s">
        <v>1713</v>
      </c>
      <c r="AD300" s="691">
        <v>43306</v>
      </c>
      <c r="AE300" s="691">
        <v>43457</v>
      </c>
      <c r="AF300" s="665" t="s">
        <v>1697</v>
      </c>
      <c r="AG300" s="665" t="s">
        <v>235</v>
      </c>
    </row>
    <row r="301" spans="1:33" s="702" customFormat="1" ht="95.1" customHeight="1" x14ac:dyDescent="0.25">
      <c r="A301" s="658">
        <f t="shared" si="32"/>
        <v>254</v>
      </c>
      <c r="B301" s="759" t="s">
        <v>890</v>
      </c>
      <c r="C301" s="759">
        <v>80101706</v>
      </c>
      <c r="D301" s="660" t="s">
        <v>537</v>
      </c>
      <c r="E301" s="759" t="s">
        <v>48</v>
      </c>
      <c r="F301" s="759">
        <v>1</v>
      </c>
      <c r="G301" s="661" t="s">
        <v>166</v>
      </c>
      <c r="H301" s="662" t="s">
        <v>652</v>
      </c>
      <c r="I301" s="759" t="s">
        <v>61</v>
      </c>
      <c r="J301" s="759" t="s">
        <v>66</v>
      </c>
      <c r="K301" s="759" t="s">
        <v>619</v>
      </c>
      <c r="L301" s="663">
        <v>23320000</v>
      </c>
      <c r="M301" s="664">
        <v>23320000</v>
      </c>
      <c r="N301" s="759" t="s">
        <v>51</v>
      </c>
      <c r="O301" s="759" t="s">
        <v>36</v>
      </c>
      <c r="P301" s="759" t="s">
        <v>308</v>
      </c>
      <c r="Q301" s="80"/>
      <c r="R301" s="665" t="s">
        <v>1714</v>
      </c>
      <c r="S301" s="665" t="s">
        <v>892</v>
      </c>
      <c r="T301" s="691">
        <v>43292</v>
      </c>
      <c r="U301" s="665" t="s">
        <v>1715</v>
      </c>
      <c r="V301" s="665" t="s">
        <v>672</v>
      </c>
      <c r="W301" s="692">
        <v>23320000</v>
      </c>
      <c r="X301" s="767"/>
      <c r="Y301" s="692">
        <v>23320000</v>
      </c>
      <c r="Z301" s="692">
        <v>23320000</v>
      </c>
      <c r="AA301" s="665" t="s">
        <v>1716</v>
      </c>
      <c r="AB301" s="665">
        <v>30118</v>
      </c>
      <c r="AC301" s="665" t="s">
        <v>1626</v>
      </c>
      <c r="AD301" s="691">
        <v>43293</v>
      </c>
      <c r="AE301" s="691">
        <v>43455</v>
      </c>
      <c r="AF301" s="665" t="s">
        <v>1717</v>
      </c>
      <c r="AG301" s="665" t="s">
        <v>890</v>
      </c>
    </row>
    <row r="302" spans="1:33" s="702" customFormat="1" ht="132.94999999999999" customHeight="1" x14ac:dyDescent="0.25">
      <c r="A302" s="658" t="s">
        <v>1600</v>
      </c>
      <c r="B302" s="759" t="s">
        <v>890</v>
      </c>
      <c r="C302" s="759">
        <v>80101707</v>
      </c>
      <c r="D302" s="660" t="s">
        <v>537</v>
      </c>
      <c r="E302" s="759" t="s">
        <v>48</v>
      </c>
      <c r="F302" s="759">
        <v>2</v>
      </c>
      <c r="G302" s="661" t="s">
        <v>81</v>
      </c>
      <c r="H302" s="662" t="s">
        <v>202</v>
      </c>
      <c r="I302" s="759" t="s">
        <v>61</v>
      </c>
      <c r="J302" s="759" t="s">
        <v>66</v>
      </c>
      <c r="K302" s="759" t="s">
        <v>619</v>
      </c>
      <c r="L302" s="663">
        <v>20000000</v>
      </c>
      <c r="M302" s="664">
        <v>20000000</v>
      </c>
      <c r="N302" s="759" t="s">
        <v>51</v>
      </c>
      <c r="O302" s="759" t="s">
        <v>36</v>
      </c>
      <c r="P302" s="759" t="s">
        <v>308</v>
      </c>
      <c r="Q302" s="80"/>
      <c r="R302" s="665" t="s">
        <v>1718</v>
      </c>
      <c r="S302" s="665" t="s">
        <v>791</v>
      </c>
      <c r="T302" s="691">
        <v>43300</v>
      </c>
      <c r="U302" s="665" t="s">
        <v>1719</v>
      </c>
      <c r="V302" s="665" t="s">
        <v>672</v>
      </c>
      <c r="W302" s="692">
        <v>20000000</v>
      </c>
      <c r="X302" s="767"/>
      <c r="Y302" s="692">
        <v>20000000</v>
      </c>
      <c r="Z302" s="692">
        <v>20000000</v>
      </c>
      <c r="AA302" s="665" t="s">
        <v>1720</v>
      </c>
      <c r="AB302" s="665">
        <v>31918</v>
      </c>
      <c r="AC302" s="665"/>
      <c r="AD302" s="691"/>
      <c r="AE302" s="691"/>
      <c r="AF302" s="665"/>
      <c r="AG302" s="665"/>
    </row>
    <row r="303" spans="1:33" s="702" customFormat="1" ht="152.1" customHeight="1" x14ac:dyDescent="0.25">
      <c r="A303" s="658">
        <f>+A301+1</f>
        <v>255</v>
      </c>
      <c r="B303" s="759" t="s">
        <v>890</v>
      </c>
      <c r="C303" s="759">
        <v>80101706</v>
      </c>
      <c r="D303" s="660" t="s">
        <v>537</v>
      </c>
      <c r="E303" s="759" t="s">
        <v>48</v>
      </c>
      <c r="F303" s="759">
        <v>1</v>
      </c>
      <c r="G303" s="661" t="s">
        <v>166</v>
      </c>
      <c r="H303" s="662">
        <v>5.3</v>
      </c>
      <c r="I303" s="759" t="s">
        <v>61</v>
      </c>
      <c r="J303" s="759" t="s">
        <v>66</v>
      </c>
      <c r="K303" s="759" t="s">
        <v>619</v>
      </c>
      <c r="L303" s="663">
        <v>37100000</v>
      </c>
      <c r="M303" s="664">
        <v>37100000</v>
      </c>
      <c r="N303" s="759" t="s">
        <v>51</v>
      </c>
      <c r="O303" s="759" t="s">
        <v>36</v>
      </c>
      <c r="P303" s="759" t="s">
        <v>308</v>
      </c>
      <c r="Q303" s="80"/>
      <c r="R303" s="665" t="s">
        <v>1721</v>
      </c>
      <c r="S303" s="665" t="s">
        <v>895</v>
      </c>
      <c r="T303" s="691">
        <v>43306</v>
      </c>
      <c r="U303" s="665" t="s">
        <v>1722</v>
      </c>
      <c r="V303" s="665" t="s">
        <v>672</v>
      </c>
      <c r="W303" s="692">
        <v>36400000</v>
      </c>
      <c r="X303" s="767"/>
      <c r="Y303" s="692">
        <v>36400000</v>
      </c>
      <c r="Z303" s="692">
        <v>36400000</v>
      </c>
      <c r="AA303" s="665" t="s">
        <v>1723</v>
      </c>
      <c r="AB303" s="665">
        <v>29818</v>
      </c>
      <c r="AC303" s="665" t="s">
        <v>1704</v>
      </c>
      <c r="AD303" s="691">
        <v>43307</v>
      </c>
      <c r="AE303" s="691">
        <v>43462</v>
      </c>
      <c r="AF303" s="665" t="s">
        <v>898</v>
      </c>
      <c r="AG303" s="665" t="s">
        <v>890</v>
      </c>
    </row>
    <row r="304" spans="1:33" s="702" customFormat="1" ht="209.1" customHeight="1" x14ac:dyDescent="0.25">
      <c r="A304" s="658">
        <f t="shared" si="32"/>
        <v>256</v>
      </c>
      <c r="B304" s="759" t="s">
        <v>890</v>
      </c>
      <c r="C304" s="759">
        <v>80101706</v>
      </c>
      <c r="D304" s="660" t="s">
        <v>537</v>
      </c>
      <c r="E304" s="759" t="s">
        <v>48</v>
      </c>
      <c r="F304" s="759">
        <v>1</v>
      </c>
      <c r="G304" s="661" t="s">
        <v>166</v>
      </c>
      <c r="H304" s="662" t="s">
        <v>652</v>
      </c>
      <c r="I304" s="759" t="s">
        <v>61</v>
      </c>
      <c r="J304" s="759" t="s">
        <v>66</v>
      </c>
      <c r="K304" s="759" t="s">
        <v>619</v>
      </c>
      <c r="L304" s="663">
        <v>35805000</v>
      </c>
      <c r="M304" s="664">
        <v>35805000</v>
      </c>
      <c r="N304" s="759" t="s">
        <v>51</v>
      </c>
      <c r="O304" s="759" t="s">
        <v>36</v>
      </c>
      <c r="P304" s="759" t="s">
        <v>308</v>
      </c>
      <c r="Q304" s="80"/>
      <c r="R304" s="665" t="s">
        <v>1724</v>
      </c>
      <c r="S304" s="665" t="s">
        <v>243</v>
      </c>
      <c r="T304" s="691">
        <v>43298</v>
      </c>
      <c r="U304" s="665" t="s">
        <v>1725</v>
      </c>
      <c r="V304" s="665" t="s">
        <v>672</v>
      </c>
      <c r="W304" s="692">
        <v>34937000</v>
      </c>
      <c r="X304" s="767"/>
      <c r="Y304" s="692">
        <v>34937000</v>
      </c>
      <c r="Z304" s="692">
        <v>34937000</v>
      </c>
      <c r="AA304" s="665" t="s">
        <v>1726</v>
      </c>
      <c r="AB304" s="665">
        <v>29918</v>
      </c>
      <c r="AC304" s="665" t="s">
        <v>1626</v>
      </c>
      <c r="AD304" s="691">
        <v>43299</v>
      </c>
      <c r="AE304" s="691">
        <v>43455</v>
      </c>
      <c r="AF304" s="665" t="s">
        <v>1727</v>
      </c>
      <c r="AG304" s="665" t="s">
        <v>890</v>
      </c>
    </row>
    <row r="305" spans="1:33" s="702" customFormat="1" ht="209.1" customHeight="1" x14ac:dyDescent="0.25">
      <c r="A305" s="658">
        <f t="shared" si="32"/>
        <v>257</v>
      </c>
      <c r="B305" s="759" t="s">
        <v>890</v>
      </c>
      <c r="C305" s="759">
        <v>80101706</v>
      </c>
      <c r="D305" s="660" t="s">
        <v>537</v>
      </c>
      <c r="E305" s="759" t="s">
        <v>48</v>
      </c>
      <c r="F305" s="759">
        <v>1</v>
      </c>
      <c r="G305" s="661" t="s">
        <v>166</v>
      </c>
      <c r="H305" s="662">
        <v>5.4666666666666668</v>
      </c>
      <c r="I305" s="759" t="s">
        <v>61</v>
      </c>
      <c r="J305" s="759" t="s">
        <v>66</v>
      </c>
      <c r="K305" s="759" t="s">
        <v>619</v>
      </c>
      <c r="L305" s="663">
        <v>35588000</v>
      </c>
      <c r="M305" s="664">
        <v>2558000</v>
      </c>
      <c r="N305" s="759" t="s">
        <v>51</v>
      </c>
      <c r="O305" s="759" t="s">
        <v>36</v>
      </c>
      <c r="P305" s="759" t="s">
        <v>308</v>
      </c>
      <c r="Q305" s="80"/>
      <c r="R305" s="665" t="s">
        <v>1728</v>
      </c>
      <c r="S305" s="665" t="s">
        <v>908</v>
      </c>
      <c r="T305" s="691">
        <v>43299</v>
      </c>
      <c r="U305" s="665" t="s">
        <v>1725</v>
      </c>
      <c r="V305" s="665" t="s">
        <v>672</v>
      </c>
      <c r="W305" s="692">
        <v>34937000</v>
      </c>
      <c r="X305" s="767"/>
      <c r="Y305" s="692">
        <v>34937000</v>
      </c>
      <c r="Z305" s="692">
        <v>34937000</v>
      </c>
      <c r="AA305" s="665" t="s">
        <v>1729</v>
      </c>
      <c r="AB305" s="665">
        <v>30018</v>
      </c>
      <c r="AC305" s="665" t="s">
        <v>1626</v>
      </c>
      <c r="AD305" s="691">
        <v>43300</v>
      </c>
      <c r="AE305" s="691">
        <v>43455</v>
      </c>
      <c r="AF305" s="665" t="s">
        <v>898</v>
      </c>
      <c r="AG305" s="665" t="s">
        <v>890</v>
      </c>
    </row>
    <row r="306" spans="1:33" s="702" customFormat="1" ht="69" customHeight="1" x14ac:dyDescent="0.25">
      <c r="A306" s="586">
        <f t="shared" si="32"/>
        <v>258</v>
      </c>
      <c r="B306" s="651" t="s">
        <v>890</v>
      </c>
      <c r="C306" s="651">
        <v>80101706</v>
      </c>
      <c r="D306" s="653" t="s">
        <v>537</v>
      </c>
      <c r="E306" s="651" t="s">
        <v>48</v>
      </c>
      <c r="F306" s="651">
        <v>1</v>
      </c>
      <c r="G306" s="654" t="s">
        <v>166</v>
      </c>
      <c r="H306" s="655">
        <v>5.4666666666666668</v>
      </c>
      <c r="I306" s="651" t="s">
        <v>61</v>
      </c>
      <c r="J306" s="651" t="s">
        <v>66</v>
      </c>
      <c r="K306" s="651" t="s">
        <v>619</v>
      </c>
      <c r="L306" s="656"/>
      <c r="M306" s="657"/>
      <c r="N306" s="651" t="s">
        <v>51</v>
      </c>
      <c r="O306" s="651" t="s">
        <v>36</v>
      </c>
      <c r="P306" s="651" t="s">
        <v>308</v>
      </c>
      <c r="Q306" s="80"/>
      <c r="R306" s="703"/>
      <c r="S306" s="703"/>
      <c r="T306" s="703"/>
      <c r="U306" s="703"/>
      <c r="V306" s="703"/>
      <c r="W306" s="703"/>
      <c r="X306" s="703"/>
      <c r="Y306" s="703"/>
      <c r="Z306" s="703"/>
      <c r="AA306" s="703"/>
      <c r="AB306" s="703"/>
      <c r="AC306" s="703"/>
      <c r="AD306" s="703"/>
      <c r="AE306" s="703"/>
      <c r="AF306" s="703"/>
      <c r="AG306" s="703"/>
    </row>
    <row r="307" spans="1:33" s="702" customFormat="1" ht="209.1" customHeight="1" x14ac:dyDescent="0.25">
      <c r="A307" s="658">
        <f t="shared" si="32"/>
        <v>259</v>
      </c>
      <c r="B307" s="759" t="s">
        <v>890</v>
      </c>
      <c r="C307" s="759">
        <v>80101706</v>
      </c>
      <c r="D307" s="660" t="s">
        <v>537</v>
      </c>
      <c r="E307" s="759" t="s">
        <v>48</v>
      </c>
      <c r="F307" s="759">
        <v>1</v>
      </c>
      <c r="G307" s="661" t="s">
        <v>166</v>
      </c>
      <c r="H307" s="662">
        <v>5.166666666666667</v>
      </c>
      <c r="I307" s="759" t="s">
        <v>61</v>
      </c>
      <c r="J307" s="759" t="s">
        <v>66</v>
      </c>
      <c r="K307" s="759" t="s">
        <v>601</v>
      </c>
      <c r="L307" s="663">
        <v>33635000</v>
      </c>
      <c r="M307" s="664">
        <v>33635000</v>
      </c>
      <c r="N307" s="759" t="s">
        <v>51</v>
      </c>
      <c r="O307" s="759" t="s">
        <v>36</v>
      </c>
      <c r="P307" s="759" t="s">
        <v>308</v>
      </c>
      <c r="Q307" s="80"/>
      <c r="R307" s="665" t="s">
        <v>1730</v>
      </c>
      <c r="S307" s="665" t="s">
        <v>976</v>
      </c>
      <c r="T307" s="691">
        <v>43312</v>
      </c>
      <c r="U307" s="665" t="s">
        <v>1731</v>
      </c>
      <c r="V307" s="665" t="s">
        <v>672</v>
      </c>
      <c r="W307" s="692">
        <v>32550000</v>
      </c>
      <c r="X307" s="767"/>
      <c r="Y307" s="692">
        <v>32550000</v>
      </c>
      <c r="Z307" s="692">
        <v>32550000</v>
      </c>
      <c r="AA307" s="665" t="s">
        <v>901</v>
      </c>
      <c r="AB307" s="665">
        <v>28618</v>
      </c>
      <c r="AC307" s="665" t="s">
        <v>1635</v>
      </c>
      <c r="AD307" s="691">
        <v>43312</v>
      </c>
      <c r="AE307" s="691">
        <v>43464</v>
      </c>
      <c r="AF307" s="665" t="s">
        <v>906</v>
      </c>
      <c r="AG307" s="665" t="s">
        <v>890</v>
      </c>
    </row>
    <row r="308" spans="1:33" s="702" customFormat="1" ht="117" customHeight="1" x14ac:dyDescent="0.25">
      <c r="A308" s="890">
        <f t="shared" si="32"/>
        <v>260</v>
      </c>
      <c r="B308" s="714" t="s">
        <v>1519</v>
      </c>
      <c r="C308" s="714">
        <v>80101706</v>
      </c>
      <c r="D308" s="714" t="s">
        <v>1529</v>
      </c>
      <c r="E308" s="768" t="s">
        <v>48</v>
      </c>
      <c r="F308" s="758">
        <v>1</v>
      </c>
      <c r="G308" s="760" t="s">
        <v>166</v>
      </c>
      <c r="H308" s="761" t="s">
        <v>652</v>
      </c>
      <c r="I308" s="758" t="s">
        <v>61</v>
      </c>
      <c r="J308" s="758" t="s">
        <v>66</v>
      </c>
      <c r="K308" s="759" t="s">
        <v>610</v>
      </c>
      <c r="L308" s="663">
        <f>28166667/2</f>
        <v>14083333.5</v>
      </c>
      <c r="M308" s="664">
        <v>14083333.5</v>
      </c>
      <c r="N308" s="758" t="s">
        <v>51</v>
      </c>
      <c r="O308" s="758" t="s">
        <v>36</v>
      </c>
      <c r="P308" s="758" t="s">
        <v>513</v>
      </c>
      <c r="Q308" s="80"/>
      <c r="R308" s="886" t="s">
        <v>1732</v>
      </c>
      <c r="S308" s="886" t="s">
        <v>561</v>
      </c>
      <c r="T308" s="888">
        <v>43286</v>
      </c>
      <c r="U308" s="886" t="s">
        <v>1733</v>
      </c>
      <c r="V308" s="886" t="s">
        <v>672</v>
      </c>
      <c r="W308" s="692">
        <v>14083333</v>
      </c>
      <c r="X308" s="767"/>
      <c r="Y308" s="692">
        <v>14083333</v>
      </c>
      <c r="Z308" s="692">
        <v>14083333</v>
      </c>
      <c r="AA308" s="886" t="s">
        <v>1734</v>
      </c>
      <c r="AB308" s="886">
        <v>28818</v>
      </c>
      <c r="AC308" s="886" t="s">
        <v>1626</v>
      </c>
      <c r="AD308" s="888">
        <v>43287</v>
      </c>
      <c r="AE308" s="888">
        <v>43455</v>
      </c>
      <c r="AF308" s="886" t="s">
        <v>755</v>
      </c>
      <c r="AG308" s="886" t="s">
        <v>756</v>
      </c>
    </row>
    <row r="309" spans="1:33" s="702" customFormat="1" ht="110.25" customHeight="1" x14ac:dyDescent="0.25">
      <c r="A309" s="891"/>
      <c r="B309" s="714" t="s">
        <v>1519</v>
      </c>
      <c r="C309" s="714">
        <v>80101707</v>
      </c>
      <c r="D309" s="714" t="s">
        <v>1529</v>
      </c>
      <c r="E309" s="768" t="s">
        <v>48</v>
      </c>
      <c r="F309" s="758">
        <v>1</v>
      </c>
      <c r="G309" s="760" t="s">
        <v>166</v>
      </c>
      <c r="H309" s="761" t="s">
        <v>652</v>
      </c>
      <c r="I309" s="758" t="s">
        <v>61</v>
      </c>
      <c r="J309" s="758" t="s">
        <v>66</v>
      </c>
      <c r="K309" s="759" t="s">
        <v>601</v>
      </c>
      <c r="L309" s="663">
        <f>28166667/2</f>
        <v>14083333.5</v>
      </c>
      <c r="M309" s="664">
        <v>14083333.5</v>
      </c>
      <c r="N309" s="758" t="s">
        <v>51</v>
      </c>
      <c r="O309" s="758" t="s">
        <v>36</v>
      </c>
      <c r="P309" s="758" t="s">
        <v>513</v>
      </c>
      <c r="Q309" s="80"/>
      <c r="R309" s="887"/>
      <c r="S309" s="887"/>
      <c r="T309" s="889"/>
      <c r="U309" s="887"/>
      <c r="V309" s="887"/>
      <c r="W309" s="692">
        <v>14083333</v>
      </c>
      <c r="X309" s="767"/>
      <c r="Y309" s="692">
        <v>14083333</v>
      </c>
      <c r="Z309" s="692">
        <v>14083333</v>
      </c>
      <c r="AA309" s="887"/>
      <c r="AB309" s="887"/>
      <c r="AC309" s="887"/>
      <c r="AD309" s="889"/>
      <c r="AE309" s="889"/>
      <c r="AF309" s="887"/>
      <c r="AG309" s="887"/>
    </row>
    <row r="310" spans="1:33" s="702" customFormat="1" ht="92.1" customHeight="1" x14ac:dyDescent="0.25">
      <c r="A310" s="890">
        <v>261</v>
      </c>
      <c r="B310" s="758" t="s">
        <v>1519</v>
      </c>
      <c r="C310" s="758">
        <v>80101706</v>
      </c>
      <c r="D310" s="758" t="s">
        <v>1529</v>
      </c>
      <c r="E310" s="769" t="s">
        <v>48</v>
      </c>
      <c r="F310" s="758">
        <v>1</v>
      </c>
      <c r="G310" s="760" t="s">
        <v>166</v>
      </c>
      <c r="H310" s="761" t="s">
        <v>652</v>
      </c>
      <c r="I310" s="758" t="s">
        <v>61</v>
      </c>
      <c r="J310" s="758" t="s">
        <v>66</v>
      </c>
      <c r="K310" s="759" t="s">
        <v>610</v>
      </c>
      <c r="L310" s="663">
        <f>28166667/2</f>
        <v>14083333.5</v>
      </c>
      <c r="M310" s="664">
        <v>14083333.5</v>
      </c>
      <c r="N310" s="758" t="s">
        <v>51</v>
      </c>
      <c r="O310" s="758" t="s">
        <v>36</v>
      </c>
      <c r="P310" s="758" t="s">
        <v>513</v>
      </c>
      <c r="Q310" s="80"/>
      <c r="R310" s="886" t="s">
        <v>1735</v>
      </c>
      <c r="S310" s="886" t="s">
        <v>234</v>
      </c>
      <c r="T310" s="888">
        <v>43286</v>
      </c>
      <c r="U310" s="886" t="s">
        <v>1733</v>
      </c>
      <c r="V310" s="886" t="s">
        <v>672</v>
      </c>
      <c r="W310" s="692">
        <v>14083333</v>
      </c>
      <c r="X310" s="767"/>
      <c r="Y310" s="692">
        <v>14083333</v>
      </c>
      <c r="Z310" s="692">
        <v>14083333</v>
      </c>
      <c r="AA310" s="886" t="s">
        <v>1734</v>
      </c>
      <c r="AB310" s="886">
        <v>28718</v>
      </c>
      <c r="AC310" s="886" t="s">
        <v>1626</v>
      </c>
      <c r="AD310" s="888">
        <v>43287</v>
      </c>
      <c r="AE310" s="888">
        <v>43455</v>
      </c>
      <c r="AF310" s="886" t="s">
        <v>755</v>
      </c>
      <c r="AG310" s="886" t="s">
        <v>756</v>
      </c>
    </row>
    <row r="311" spans="1:33" s="702" customFormat="1" ht="117.75" customHeight="1" x14ac:dyDescent="0.25">
      <c r="A311" s="891"/>
      <c r="B311" s="758" t="s">
        <v>1519</v>
      </c>
      <c r="C311" s="758">
        <v>80101706</v>
      </c>
      <c r="D311" s="758" t="s">
        <v>1529</v>
      </c>
      <c r="E311" s="769" t="s">
        <v>48</v>
      </c>
      <c r="F311" s="758">
        <v>1</v>
      </c>
      <c r="G311" s="760" t="s">
        <v>166</v>
      </c>
      <c r="H311" s="761">
        <v>5</v>
      </c>
      <c r="I311" s="758" t="s">
        <v>61</v>
      </c>
      <c r="J311" s="758" t="s">
        <v>66</v>
      </c>
      <c r="K311" s="759" t="s">
        <v>601</v>
      </c>
      <c r="L311" s="663">
        <f>28166667/2</f>
        <v>14083333.5</v>
      </c>
      <c r="M311" s="664">
        <v>14083333.5</v>
      </c>
      <c r="N311" s="758" t="s">
        <v>51</v>
      </c>
      <c r="O311" s="758" t="s">
        <v>36</v>
      </c>
      <c r="P311" s="758" t="s">
        <v>513</v>
      </c>
      <c r="Q311" s="80"/>
      <c r="R311" s="887"/>
      <c r="S311" s="887"/>
      <c r="T311" s="889"/>
      <c r="U311" s="887"/>
      <c r="V311" s="887"/>
      <c r="W311" s="692">
        <v>14083333</v>
      </c>
      <c r="X311" s="767"/>
      <c r="Y311" s="692">
        <v>14083333</v>
      </c>
      <c r="Z311" s="692">
        <v>14083333</v>
      </c>
      <c r="AA311" s="887"/>
      <c r="AB311" s="887"/>
      <c r="AC311" s="887"/>
      <c r="AD311" s="889"/>
      <c r="AE311" s="889"/>
      <c r="AF311" s="887"/>
      <c r="AG311" s="887"/>
    </row>
    <row r="312" spans="1:33" s="702" customFormat="1" ht="92.1" customHeight="1" x14ac:dyDescent="0.25">
      <c r="A312" s="890">
        <v>262</v>
      </c>
      <c r="B312" s="758" t="s">
        <v>1519</v>
      </c>
      <c r="C312" s="758">
        <v>80101706</v>
      </c>
      <c r="D312" s="758" t="s">
        <v>1529</v>
      </c>
      <c r="E312" s="769" t="s">
        <v>48</v>
      </c>
      <c r="F312" s="758">
        <v>1</v>
      </c>
      <c r="G312" s="760" t="s">
        <v>166</v>
      </c>
      <c r="H312" s="761">
        <v>5.4666666666666668</v>
      </c>
      <c r="I312" s="758" t="s">
        <v>61</v>
      </c>
      <c r="J312" s="758" t="s">
        <v>66</v>
      </c>
      <c r="K312" s="759" t="s">
        <v>610</v>
      </c>
      <c r="L312" s="663">
        <f>10435867/2</f>
        <v>5217933.5</v>
      </c>
      <c r="M312" s="664">
        <v>5217933.5</v>
      </c>
      <c r="N312" s="758" t="s">
        <v>51</v>
      </c>
      <c r="O312" s="758" t="s">
        <v>36</v>
      </c>
      <c r="P312" s="758" t="s">
        <v>513</v>
      </c>
      <c r="Q312" s="80"/>
      <c r="R312" s="886" t="s">
        <v>1736</v>
      </c>
      <c r="S312" s="886" t="s">
        <v>1737</v>
      </c>
      <c r="T312" s="888">
        <v>43292</v>
      </c>
      <c r="U312" s="886" t="s">
        <v>1738</v>
      </c>
      <c r="V312" s="886" t="s">
        <v>679</v>
      </c>
      <c r="W312" s="692">
        <v>5154500</v>
      </c>
      <c r="X312" s="692"/>
      <c r="Y312" s="692">
        <v>5154500</v>
      </c>
      <c r="Z312" s="692">
        <v>5154500</v>
      </c>
      <c r="AA312" s="886" t="s">
        <v>1739</v>
      </c>
      <c r="AB312" s="886">
        <v>28918</v>
      </c>
      <c r="AC312" s="886" t="s">
        <v>1626</v>
      </c>
      <c r="AD312" s="888">
        <v>43293</v>
      </c>
      <c r="AE312" s="888">
        <v>43455</v>
      </c>
      <c r="AF312" s="886" t="s">
        <v>755</v>
      </c>
      <c r="AG312" s="886" t="s">
        <v>756</v>
      </c>
    </row>
    <row r="313" spans="1:33" s="702" customFormat="1" ht="123.75" customHeight="1" x14ac:dyDescent="0.25">
      <c r="A313" s="891"/>
      <c r="B313" s="758" t="s">
        <v>1519</v>
      </c>
      <c r="C313" s="758">
        <v>80101706</v>
      </c>
      <c r="D313" s="758" t="s">
        <v>1529</v>
      </c>
      <c r="E313" s="769" t="s">
        <v>48</v>
      </c>
      <c r="F313" s="758">
        <v>1</v>
      </c>
      <c r="G313" s="760" t="s">
        <v>166</v>
      </c>
      <c r="H313" s="761">
        <v>5.4666666666666668</v>
      </c>
      <c r="I313" s="758" t="s">
        <v>61</v>
      </c>
      <c r="J313" s="758" t="s">
        <v>66</v>
      </c>
      <c r="K313" s="759" t="s">
        <v>601</v>
      </c>
      <c r="L313" s="663">
        <f>10435867/2</f>
        <v>5217933.5</v>
      </c>
      <c r="M313" s="664">
        <v>5217933.5</v>
      </c>
      <c r="N313" s="758" t="s">
        <v>51</v>
      </c>
      <c r="O313" s="758" t="s">
        <v>36</v>
      </c>
      <c r="P313" s="758" t="s">
        <v>513</v>
      </c>
      <c r="Q313" s="80"/>
      <c r="R313" s="887"/>
      <c r="S313" s="887"/>
      <c r="T313" s="889"/>
      <c r="U313" s="887"/>
      <c r="V313" s="887"/>
      <c r="W313" s="692">
        <v>5154500</v>
      </c>
      <c r="X313" s="692"/>
      <c r="Y313" s="692">
        <v>5154500</v>
      </c>
      <c r="Z313" s="692">
        <v>5154500</v>
      </c>
      <c r="AA313" s="887"/>
      <c r="AB313" s="887"/>
      <c r="AC313" s="887"/>
      <c r="AD313" s="889"/>
      <c r="AE313" s="889"/>
      <c r="AF313" s="887"/>
      <c r="AG313" s="887"/>
    </row>
    <row r="314" spans="1:33" s="702" customFormat="1" ht="152.1" customHeight="1" x14ac:dyDescent="0.25">
      <c r="A314" s="658">
        <v>263</v>
      </c>
      <c r="B314" s="759" t="s">
        <v>1520</v>
      </c>
      <c r="C314" s="759">
        <v>80101706</v>
      </c>
      <c r="D314" s="660" t="s">
        <v>1530</v>
      </c>
      <c r="E314" s="759" t="s">
        <v>48</v>
      </c>
      <c r="F314" s="759">
        <v>1</v>
      </c>
      <c r="G314" s="661" t="s">
        <v>166</v>
      </c>
      <c r="H314" s="662">
        <v>5.4666666666666668</v>
      </c>
      <c r="I314" s="759" t="s">
        <v>61</v>
      </c>
      <c r="J314" s="759" t="s">
        <v>66</v>
      </c>
      <c r="K314" s="759" t="s">
        <v>601</v>
      </c>
      <c r="L314" s="663">
        <v>28596133</v>
      </c>
      <c r="M314" s="664">
        <v>28596133</v>
      </c>
      <c r="N314" s="759" t="s">
        <v>51</v>
      </c>
      <c r="O314" s="759" t="s">
        <v>36</v>
      </c>
      <c r="P314" s="759" t="s">
        <v>517</v>
      </c>
      <c r="Q314" s="80"/>
      <c r="R314" s="665" t="s">
        <v>1740</v>
      </c>
      <c r="S314" s="665" t="s">
        <v>280</v>
      </c>
      <c r="T314" s="691">
        <v>43291</v>
      </c>
      <c r="U314" s="665" t="s">
        <v>1741</v>
      </c>
      <c r="V314" s="665" t="s">
        <v>672</v>
      </c>
      <c r="W314" s="692">
        <v>28247400</v>
      </c>
      <c r="X314" s="692"/>
      <c r="Y314" s="692">
        <v>28247400</v>
      </c>
      <c r="Z314" s="692">
        <v>28247400</v>
      </c>
      <c r="AA314" s="757" t="s">
        <v>1742</v>
      </c>
      <c r="AB314" s="757">
        <v>29018</v>
      </c>
      <c r="AC314" s="757" t="s">
        <v>1626</v>
      </c>
      <c r="AD314" s="756">
        <v>43292</v>
      </c>
      <c r="AE314" s="756">
        <v>43455</v>
      </c>
      <c r="AF314" s="757" t="s">
        <v>770</v>
      </c>
      <c r="AG314" s="757" t="s">
        <v>771</v>
      </c>
    </row>
    <row r="315" spans="1:33" s="702" customFormat="1" ht="171" customHeight="1" x14ac:dyDescent="0.25">
      <c r="A315" s="658">
        <f t="shared" si="32"/>
        <v>264</v>
      </c>
      <c r="B315" s="759" t="s">
        <v>301</v>
      </c>
      <c r="C315" s="759">
        <v>80101706</v>
      </c>
      <c r="D315" s="660" t="s">
        <v>1531</v>
      </c>
      <c r="E315" s="759" t="s">
        <v>48</v>
      </c>
      <c r="F315" s="759">
        <v>1</v>
      </c>
      <c r="G315" s="661" t="s">
        <v>166</v>
      </c>
      <c r="H315" s="662" t="s">
        <v>652</v>
      </c>
      <c r="I315" s="759" t="s">
        <v>61</v>
      </c>
      <c r="J315" s="759" t="s">
        <v>66</v>
      </c>
      <c r="K315" s="759" t="s">
        <v>601</v>
      </c>
      <c r="L315" s="663">
        <v>46756667</v>
      </c>
      <c r="M315" s="664">
        <v>46756667</v>
      </c>
      <c r="N315" s="759" t="s">
        <v>51</v>
      </c>
      <c r="O315" s="759" t="s">
        <v>36</v>
      </c>
      <c r="P315" s="759" t="s">
        <v>502</v>
      </c>
      <c r="Q315" s="80"/>
      <c r="R315" s="665" t="s">
        <v>1743</v>
      </c>
      <c r="S315" s="665" t="s">
        <v>739</v>
      </c>
      <c r="T315" s="691">
        <v>43286</v>
      </c>
      <c r="U315" s="665" t="s">
        <v>1744</v>
      </c>
      <c r="V315" s="665" t="s">
        <v>672</v>
      </c>
      <c r="W315" s="692">
        <v>46756667</v>
      </c>
      <c r="X315" s="692"/>
      <c r="Y315" s="692">
        <v>46756667</v>
      </c>
      <c r="Z315" s="692">
        <v>46756667</v>
      </c>
      <c r="AA315" s="757" t="s">
        <v>1745</v>
      </c>
      <c r="AB315" s="757">
        <v>29118</v>
      </c>
      <c r="AC315" s="757" t="s">
        <v>1626</v>
      </c>
      <c r="AD315" s="756">
        <v>43287</v>
      </c>
      <c r="AE315" s="756">
        <v>43455</v>
      </c>
      <c r="AF315" s="757" t="s">
        <v>737</v>
      </c>
      <c r="AG315" s="757" t="s">
        <v>301</v>
      </c>
    </row>
    <row r="316" spans="1:33" s="702" customFormat="1" ht="171" customHeight="1" x14ac:dyDescent="0.25">
      <c r="A316" s="658">
        <f t="shared" si="32"/>
        <v>265</v>
      </c>
      <c r="B316" s="759" t="s">
        <v>301</v>
      </c>
      <c r="C316" s="759">
        <v>80101706</v>
      </c>
      <c r="D316" s="660" t="s">
        <v>1531</v>
      </c>
      <c r="E316" s="759" t="s">
        <v>48</v>
      </c>
      <c r="F316" s="759">
        <v>1</v>
      </c>
      <c r="G316" s="661" t="s">
        <v>166</v>
      </c>
      <c r="H316" s="662" t="s">
        <v>652</v>
      </c>
      <c r="I316" s="759" t="s">
        <v>61</v>
      </c>
      <c r="J316" s="759" t="s">
        <v>66</v>
      </c>
      <c r="K316" s="759" t="s">
        <v>601</v>
      </c>
      <c r="L316" s="663">
        <v>49500000</v>
      </c>
      <c r="M316" s="664">
        <v>49500000</v>
      </c>
      <c r="N316" s="759" t="s">
        <v>51</v>
      </c>
      <c r="O316" s="759" t="s">
        <v>36</v>
      </c>
      <c r="P316" s="759" t="s">
        <v>502</v>
      </c>
      <c r="Q316" s="80"/>
      <c r="R316" s="665" t="s">
        <v>1746</v>
      </c>
      <c r="S316" s="665" t="s">
        <v>734</v>
      </c>
      <c r="T316" s="691">
        <v>43297</v>
      </c>
      <c r="U316" s="665" t="s">
        <v>1747</v>
      </c>
      <c r="V316" s="665" t="s">
        <v>672</v>
      </c>
      <c r="W316" s="692">
        <v>47400000</v>
      </c>
      <c r="X316" s="767"/>
      <c r="Y316" s="692">
        <v>47400000</v>
      </c>
      <c r="Z316" s="692">
        <v>47400000</v>
      </c>
      <c r="AA316" s="757" t="s">
        <v>1748</v>
      </c>
      <c r="AB316" s="757">
        <v>29218</v>
      </c>
      <c r="AC316" s="757" t="s">
        <v>1626</v>
      </c>
      <c r="AD316" s="756">
        <v>43299</v>
      </c>
      <c r="AE316" s="756">
        <v>43455</v>
      </c>
      <c r="AF316" s="757"/>
      <c r="AG316" s="757"/>
    </row>
    <row r="317" spans="1:33" ht="139.5" customHeight="1" x14ac:dyDescent="0.25">
      <c r="A317" s="658">
        <f t="shared" si="32"/>
        <v>266</v>
      </c>
      <c r="B317" s="759" t="s">
        <v>538</v>
      </c>
      <c r="C317" s="759">
        <v>80101707</v>
      </c>
      <c r="D317" s="660" t="s">
        <v>1572</v>
      </c>
      <c r="E317" s="759" t="s">
        <v>48</v>
      </c>
      <c r="F317" s="759">
        <v>1</v>
      </c>
      <c r="G317" s="661" t="s">
        <v>166</v>
      </c>
      <c r="H317" s="662">
        <v>2</v>
      </c>
      <c r="I317" s="759" t="s">
        <v>61</v>
      </c>
      <c r="J317" s="759" t="s">
        <v>66</v>
      </c>
      <c r="K317" s="759" t="s">
        <v>601</v>
      </c>
      <c r="L317" s="663">
        <f>4700000*2</f>
        <v>9400000</v>
      </c>
      <c r="M317" s="664">
        <v>9400000</v>
      </c>
      <c r="N317" s="759" t="s">
        <v>51</v>
      </c>
      <c r="O317" s="759" t="s">
        <v>36</v>
      </c>
      <c r="P317" s="759" t="s">
        <v>1573</v>
      </c>
      <c r="Q317" s="80"/>
      <c r="R317" s="665" t="s">
        <v>1749</v>
      </c>
      <c r="S317" s="665" t="s">
        <v>1750</v>
      </c>
      <c r="T317" s="691">
        <v>43293</v>
      </c>
      <c r="U317" s="665" t="s">
        <v>1751</v>
      </c>
      <c r="V317" s="665" t="s">
        <v>672</v>
      </c>
      <c r="W317" s="692">
        <v>9400000</v>
      </c>
      <c r="X317" s="767"/>
      <c r="Y317" s="692">
        <v>9400000</v>
      </c>
      <c r="Z317" s="692">
        <v>9400000</v>
      </c>
      <c r="AA317" s="665" t="s">
        <v>1752</v>
      </c>
      <c r="AB317" s="665">
        <v>31118</v>
      </c>
      <c r="AC317" s="665" t="s">
        <v>952</v>
      </c>
      <c r="AD317" s="691">
        <v>43297</v>
      </c>
      <c r="AE317" s="691">
        <v>43358</v>
      </c>
      <c r="AF317" s="665" t="s">
        <v>1682</v>
      </c>
      <c r="AG317" s="665" t="s">
        <v>538</v>
      </c>
    </row>
    <row r="318" spans="1:33" ht="114.75" customHeight="1" x14ac:dyDescent="0.25">
      <c r="A318" s="658">
        <f t="shared" si="32"/>
        <v>267</v>
      </c>
      <c r="B318" s="759" t="s">
        <v>266</v>
      </c>
      <c r="C318" s="759">
        <v>80101708</v>
      </c>
      <c r="D318" s="660" t="s">
        <v>1574</v>
      </c>
      <c r="E318" s="759" t="s">
        <v>48</v>
      </c>
      <c r="F318" s="759">
        <v>1</v>
      </c>
      <c r="G318" s="661" t="s">
        <v>166</v>
      </c>
      <c r="H318" s="662">
        <v>2</v>
      </c>
      <c r="I318" s="759" t="s">
        <v>61</v>
      </c>
      <c r="J318" s="759" t="s">
        <v>66</v>
      </c>
      <c r="K318" s="759" t="s">
        <v>601</v>
      </c>
      <c r="L318" s="663">
        <f>4897000*2</f>
        <v>9794000</v>
      </c>
      <c r="M318" s="664">
        <v>9794000</v>
      </c>
      <c r="N318" s="759" t="s">
        <v>51</v>
      </c>
      <c r="O318" s="759" t="s">
        <v>36</v>
      </c>
      <c r="P318" s="759" t="s">
        <v>1575</v>
      </c>
      <c r="Q318" s="80"/>
      <c r="R318" s="703"/>
      <c r="S318" s="703"/>
      <c r="T318" s="703"/>
      <c r="U318" s="703"/>
      <c r="V318" s="703"/>
      <c r="W318" s="703"/>
      <c r="X318" s="703"/>
      <c r="Y318" s="703"/>
      <c r="Z318" s="703"/>
      <c r="AA318" s="703"/>
      <c r="AB318" s="703"/>
      <c r="AC318" s="703"/>
      <c r="AD318" s="703"/>
      <c r="AE318" s="703"/>
      <c r="AF318" s="703"/>
      <c r="AG318" s="703"/>
    </row>
    <row r="319" spans="1:33" ht="114.75" customHeight="1" x14ac:dyDescent="0.25">
      <c r="A319" s="658">
        <f t="shared" si="32"/>
        <v>268</v>
      </c>
      <c r="B319" s="758" t="s">
        <v>624</v>
      </c>
      <c r="C319" s="770">
        <v>80101706</v>
      </c>
      <c r="D319" s="714" t="s">
        <v>537</v>
      </c>
      <c r="E319" s="758" t="s">
        <v>48</v>
      </c>
      <c r="F319" s="758">
        <v>1</v>
      </c>
      <c r="G319" s="760" t="s">
        <v>166</v>
      </c>
      <c r="H319" s="771">
        <v>5.47</v>
      </c>
      <c r="I319" s="758" t="s">
        <v>61</v>
      </c>
      <c r="J319" s="758" t="s">
        <v>66</v>
      </c>
      <c r="K319" s="758" t="s">
        <v>619</v>
      </c>
      <c r="L319" s="772">
        <v>41025000</v>
      </c>
      <c r="M319" s="772">
        <v>41025000</v>
      </c>
      <c r="N319" s="758" t="s">
        <v>51</v>
      </c>
      <c r="O319" s="758" t="s">
        <v>36</v>
      </c>
      <c r="P319" s="758" t="s">
        <v>308</v>
      </c>
      <c r="Q319" s="80"/>
      <c r="R319" s="665" t="s">
        <v>1753</v>
      </c>
      <c r="S319" s="665" t="s">
        <v>904</v>
      </c>
      <c r="T319" s="691">
        <v>43299</v>
      </c>
      <c r="U319" s="665" t="s">
        <v>1754</v>
      </c>
      <c r="V319" s="665" t="s">
        <v>672</v>
      </c>
      <c r="W319" s="692">
        <v>40250000</v>
      </c>
      <c r="X319" s="767"/>
      <c r="Y319" s="692">
        <v>40250000</v>
      </c>
      <c r="Z319" s="692">
        <v>40250000</v>
      </c>
      <c r="AA319" s="665" t="s">
        <v>1755</v>
      </c>
      <c r="AB319" s="665">
        <v>30918</v>
      </c>
      <c r="AC319" s="665" t="s">
        <v>1626</v>
      </c>
      <c r="AD319" s="691">
        <v>43300</v>
      </c>
      <c r="AE319" s="691">
        <v>43455</v>
      </c>
      <c r="AF319" s="665"/>
      <c r="AG319" s="665"/>
    </row>
    <row r="320" spans="1:33" ht="114.6" customHeight="1" x14ac:dyDescent="0.25">
      <c r="A320" s="586">
        <v>269</v>
      </c>
      <c r="B320" s="587" t="s">
        <v>521</v>
      </c>
      <c r="C320" s="587" t="s">
        <v>1597</v>
      </c>
      <c r="D320" s="589" t="s">
        <v>1599</v>
      </c>
      <c r="E320" s="587" t="s">
        <v>48</v>
      </c>
      <c r="F320" s="587">
        <v>1</v>
      </c>
      <c r="G320" s="590" t="s">
        <v>166</v>
      </c>
      <c r="H320" s="591" t="s">
        <v>1593</v>
      </c>
      <c r="I320" s="587" t="s">
        <v>173</v>
      </c>
      <c r="J320" s="587" t="s">
        <v>66</v>
      </c>
      <c r="K320" s="587" t="s">
        <v>610</v>
      </c>
      <c r="L320" s="592">
        <v>2817000</v>
      </c>
      <c r="M320" s="593">
        <v>2817000</v>
      </c>
      <c r="N320" s="587" t="s">
        <v>51</v>
      </c>
      <c r="O320" s="587" t="s">
        <v>36</v>
      </c>
      <c r="P320" s="587" t="s">
        <v>1594</v>
      </c>
      <c r="Q320" s="752"/>
      <c r="R320" s="595"/>
      <c r="S320" s="595"/>
      <c r="T320" s="595"/>
      <c r="U320" s="665"/>
      <c r="V320" s="665"/>
      <c r="W320" s="692"/>
      <c r="X320" s="595"/>
      <c r="Y320" s="595"/>
      <c r="Z320" s="595"/>
      <c r="AA320" s="665"/>
      <c r="AB320" s="595"/>
      <c r="AC320" s="665"/>
      <c r="AD320" s="691"/>
      <c r="AE320" s="691"/>
      <c r="AF320" s="595"/>
      <c r="AG320" s="595"/>
    </row>
    <row r="321" spans="1:44" ht="114.75" customHeight="1" x14ac:dyDescent="0.25">
      <c r="A321" s="586">
        <v>270</v>
      </c>
      <c r="B321" s="587" t="s">
        <v>1596</v>
      </c>
      <c r="C321" s="587">
        <v>80101706</v>
      </c>
      <c r="D321" s="589" t="s">
        <v>1528</v>
      </c>
      <c r="E321" s="728" t="s">
        <v>48</v>
      </c>
      <c r="F321" s="728">
        <v>1</v>
      </c>
      <c r="G321" s="729" t="s">
        <v>166</v>
      </c>
      <c r="H321" s="730">
        <v>4.5</v>
      </c>
      <c r="I321" s="728" t="s">
        <v>61</v>
      </c>
      <c r="J321" s="728" t="s">
        <v>66</v>
      </c>
      <c r="K321" s="728" t="s">
        <v>601</v>
      </c>
      <c r="L321" s="592">
        <f>3500000*4.5</f>
        <v>15750000</v>
      </c>
      <c r="M321" s="593">
        <v>15750000</v>
      </c>
      <c r="N321" s="587" t="s">
        <v>51</v>
      </c>
      <c r="O321" s="587" t="s">
        <v>36</v>
      </c>
      <c r="P321" s="587" t="s">
        <v>1595</v>
      </c>
      <c r="Q321" s="752"/>
      <c r="R321" s="595"/>
      <c r="S321" s="595"/>
      <c r="T321" s="595"/>
      <c r="U321" s="665"/>
      <c r="V321" s="665"/>
      <c r="W321" s="692"/>
      <c r="X321" s="595"/>
      <c r="Y321" s="595"/>
      <c r="Z321" s="595"/>
      <c r="AA321" s="665"/>
      <c r="AB321" s="595"/>
      <c r="AC321" s="665"/>
      <c r="AD321" s="691"/>
      <c r="AE321" s="691"/>
      <c r="AF321" s="595"/>
      <c r="AG321" s="595"/>
    </row>
    <row r="322" spans="1:44" ht="114.75" customHeight="1" x14ac:dyDescent="0.25">
      <c r="A322" s="586">
        <v>271</v>
      </c>
      <c r="B322" s="587" t="s">
        <v>1596</v>
      </c>
      <c r="C322" s="587">
        <v>80101706</v>
      </c>
      <c r="D322" s="589" t="s">
        <v>1528</v>
      </c>
      <c r="E322" s="728" t="s">
        <v>48</v>
      </c>
      <c r="F322" s="728">
        <v>1</v>
      </c>
      <c r="G322" s="729" t="s">
        <v>166</v>
      </c>
      <c r="H322" s="730">
        <v>5</v>
      </c>
      <c r="I322" s="728" t="s">
        <v>61</v>
      </c>
      <c r="J322" s="728" t="s">
        <v>66</v>
      </c>
      <c r="K322" s="728" t="s">
        <v>601</v>
      </c>
      <c r="L322" s="592">
        <f>3500000*4.5</f>
        <v>15750000</v>
      </c>
      <c r="M322" s="593">
        <v>15750000</v>
      </c>
      <c r="N322" s="587" t="s">
        <v>51</v>
      </c>
      <c r="O322" s="587" t="s">
        <v>36</v>
      </c>
      <c r="P322" s="587" t="s">
        <v>1595</v>
      </c>
      <c r="Q322" s="752"/>
      <c r="R322" s="595"/>
      <c r="S322" s="595"/>
      <c r="T322" s="595"/>
      <c r="U322" s="665"/>
      <c r="V322" s="665"/>
      <c r="W322" s="692"/>
      <c r="X322" s="595"/>
      <c r="Y322" s="595"/>
      <c r="Z322" s="595"/>
      <c r="AA322" s="665"/>
      <c r="AB322" s="595"/>
      <c r="AC322" s="665"/>
      <c r="AD322" s="691"/>
      <c r="AE322" s="691"/>
      <c r="AF322" s="595"/>
      <c r="AG322" s="595"/>
    </row>
    <row r="323" spans="1:44" ht="114.75" customHeight="1" x14ac:dyDescent="0.25">
      <c r="A323" s="586">
        <f t="shared" si="32"/>
        <v>272</v>
      </c>
      <c r="B323" s="587" t="s">
        <v>301</v>
      </c>
      <c r="C323" s="587">
        <v>80101706</v>
      </c>
      <c r="D323" s="589" t="s">
        <v>1531</v>
      </c>
      <c r="E323" s="728" t="s">
        <v>48</v>
      </c>
      <c r="F323" s="728">
        <v>1</v>
      </c>
      <c r="G323" s="729" t="s">
        <v>166</v>
      </c>
      <c r="H323" s="730">
        <v>5</v>
      </c>
      <c r="I323" s="728" t="s">
        <v>61</v>
      </c>
      <c r="J323" s="728" t="s">
        <v>66</v>
      </c>
      <c r="K323" s="728" t="s">
        <v>601</v>
      </c>
      <c r="L323" s="592">
        <f>2500000*4.5</f>
        <v>11250000</v>
      </c>
      <c r="M323" s="593">
        <v>11250000</v>
      </c>
      <c r="N323" s="587" t="s">
        <v>51</v>
      </c>
      <c r="O323" s="587" t="s">
        <v>36</v>
      </c>
      <c r="P323" s="587" t="s">
        <v>502</v>
      </c>
      <c r="Q323" s="752"/>
      <c r="R323" s="595"/>
      <c r="S323" s="595"/>
      <c r="T323" s="595"/>
      <c r="U323" s="665"/>
      <c r="V323" s="665"/>
      <c r="W323" s="692"/>
      <c r="X323" s="595"/>
      <c r="Y323" s="595"/>
      <c r="Z323" s="595"/>
      <c r="AA323" s="665"/>
      <c r="AB323" s="595"/>
      <c r="AC323" s="665"/>
      <c r="AD323" s="691"/>
      <c r="AE323" s="691"/>
      <c r="AF323" s="595"/>
      <c r="AG323" s="595"/>
    </row>
    <row r="324" spans="1:44" ht="92.1" customHeight="1" x14ac:dyDescent="0.5">
      <c r="A324" s="586">
        <v>273</v>
      </c>
      <c r="B324" s="587" t="s">
        <v>264</v>
      </c>
      <c r="C324" s="775" t="s">
        <v>1601</v>
      </c>
      <c r="D324" s="589" t="s">
        <v>179</v>
      </c>
      <c r="E324" s="587" t="s">
        <v>48</v>
      </c>
      <c r="F324" s="587">
        <v>1</v>
      </c>
      <c r="G324" s="590" t="s">
        <v>166</v>
      </c>
      <c r="H324" s="591" t="s">
        <v>294</v>
      </c>
      <c r="I324" s="587" t="s">
        <v>55</v>
      </c>
      <c r="J324" s="587" t="s">
        <v>35</v>
      </c>
      <c r="K324" s="587" t="s">
        <v>193</v>
      </c>
      <c r="L324" s="592">
        <v>3000000</v>
      </c>
      <c r="M324" s="593">
        <v>3000000</v>
      </c>
      <c r="N324" s="587" t="s">
        <v>51</v>
      </c>
      <c r="O324" s="587" t="s">
        <v>36</v>
      </c>
      <c r="P324" s="587" t="s">
        <v>320</v>
      </c>
      <c r="Q324" s="752"/>
      <c r="R324" s="595"/>
      <c r="S324" s="595"/>
      <c r="T324" s="595"/>
      <c r="U324" s="665"/>
      <c r="V324" s="665"/>
      <c r="W324" s="692"/>
      <c r="X324" s="752"/>
      <c r="Y324" s="792">
        <v>1194825</v>
      </c>
      <c r="Z324" s="792">
        <v>1194825</v>
      </c>
      <c r="AA324" s="665"/>
      <c r="AB324" s="595"/>
      <c r="AC324" s="665"/>
      <c r="AD324" s="691"/>
      <c r="AE324" s="691"/>
      <c r="AF324" s="595"/>
      <c r="AG324" s="595"/>
    </row>
    <row r="325" spans="1:44" ht="98.45" customHeight="1" x14ac:dyDescent="0.25">
      <c r="A325" s="586">
        <v>274</v>
      </c>
      <c r="B325" s="587" t="s">
        <v>264</v>
      </c>
      <c r="C325" s="775">
        <v>44103104</v>
      </c>
      <c r="D325" s="589" t="s">
        <v>201</v>
      </c>
      <c r="E325" s="587" t="s">
        <v>48</v>
      </c>
      <c r="F325" s="587">
        <v>1</v>
      </c>
      <c r="G325" s="590" t="s">
        <v>81</v>
      </c>
      <c r="H325" s="591" t="s">
        <v>156</v>
      </c>
      <c r="I325" s="587" t="s">
        <v>53</v>
      </c>
      <c r="J325" s="587" t="s">
        <v>35</v>
      </c>
      <c r="K325" s="587" t="s">
        <v>41</v>
      </c>
      <c r="L325" s="592">
        <v>2100000</v>
      </c>
      <c r="M325" s="592">
        <v>2100000</v>
      </c>
      <c r="N325" s="587" t="s">
        <v>51</v>
      </c>
      <c r="O325" s="587" t="s">
        <v>36</v>
      </c>
      <c r="P325" s="587" t="s">
        <v>320</v>
      </c>
      <c r="Q325" s="752"/>
      <c r="R325" s="595"/>
      <c r="S325" s="595"/>
      <c r="T325" s="595"/>
      <c r="U325" s="665"/>
      <c r="V325" s="665"/>
      <c r="W325" s="692"/>
      <c r="X325" s="595"/>
      <c r="Y325" s="595"/>
      <c r="Z325" s="595"/>
      <c r="AA325" s="665"/>
      <c r="AB325" s="595"/>
      <c r="AC325" s="665"/>
      <c r="AD325" s="691"/>
      <c r="AE325" s="691"/>
      <c r="AF325" s="595"/>
      <c r="AG325" s="595"/>
    </row>
    <row r="326" spans="1:44" ht="174.6" customHeight="1" x14ac:dyDescent="0.25">
      <c r="A326" s="586">
        <v>275</v>
      </c>
      <c r="B326" s="728" t="s">
        <v>624</v>
      </c>
      <c r="C326" s="782">
        <v>80101706</v>
      </c>
      <c r="D326" s="783" t="s">
        <v>1756</v>
      </c>
      <c r="E326" s="728" t="s">
        <v>48</v>
      </c>
      <c r="F326" s="728">
        <v>1</v>
      </c>
      <c r="G326" s="729" t="s">
        <v>81</v>
      </c>
      <c r="H326" s="784">
        <v>4.5</v>
      </c>
      <c r="I326" s="728" t="s">
        <v>61</v>
      </c>
      <c r="J326" s="728" t="s">
        <v>66</v>
      </c>
      <c r="K326" s="587" t="s">
        <v>1534</v>
      </c>
      <c r="L326" s="785">
        <v>36190000</v>
      </c>
      <c r="M326" s="785">
        <v>36190000</v>
      </c>
      <c r="N326" s="728" t="s">
        <v>51</v>
      </c>
      <c r="O326" s="728" t="s">
        <v>36</v>
      </c>
      <c r="P326" s="728" t="s">
        <v>308</v>
      </c>
      <c r="Q326" s="752"/>
      <c r="R326" s="595"/>
      <c r="S326" s="595"/>
      <c r="T326" s="595"/>
      <c r="U326" s="665"/>
      <c r="V326" s="665"/>
      <c r="W326" s="692"/>
      <c r="X326" s="595"/>
      <c r="Y326" s="595"/>
      <c r="Z326" s="595"/>
      <c r="AA326" s="665"/>
      <c r="AB326" s="595"/>
      <c r="AC326" s="665"/>
      <c r="AD326" s="691"/>
      <c r="AE326" s="691"/>
      <c r="AF326" s="595"/>
      <c r="AG326" s="595"/>
      <c r="AH326" s="751"/>
      <c r="AI326" s="754"/>
      <c r="AJ326" s="594"/>
      <c r="AK326" s="734"/>
      <c r="AL326" s="754"/>
      <c r="AM326" s="754"/>
      <c r="AN326" s="750"/>
      <c r="AO326" s="753"/>
      <c r="AP326" s="754"/>
      <c r="AQ326" s="754"/>
      <c r="AR326" s="754"/>
    </row>
    <row r="327" spans="1:44" ht="133.5" customHeight="1" x14ac:dyDescent="0.25">
      <c r="A327" s="586">
        <v>276</v>
      </c>
      <c r="B327" s="587" t="s">
        <v>624</v>
      </c>
      <c r="C327" s="587">
        <v>80101706</v>
      </c>
      <c r="D327" s="589" t="s">
        <v>1757</v>
      </c>
      <c r="E327" s="587" t="s">
        <v>48</v>
      </c>
      <c r="F327" s="587">
        <v>1</v>
      </c>
      <c r="G327" s="590" t="s">
        <v>81</v>
      </c>
      <c r="H327" s="786">
        <v>4.5</v>
      </c>
      <c r="I327" s="587" t="s">
        <v>61</v>
      </c>
      <c r="J327" s="587" t="s">
        <v>66</v>
      </c>
      <c r="K327" s="587" t="s">
        <v>1534</v>
      </c>
      <c r="L327" s="592">
        <v>27000000</v>
      </c>
      <c r="M327" s="592">
        <v>27000000</v>
      </c>
      <c r="N327" s="587" t="s">
        <v>51</v>
      </c>
      <c r="O327" s="587" t="s">
        <v>36</v>
      </c>
      <c r="P327" s="587" t="s">
        <v>308</v>
      </c>
      <c r="Q327" s="752"/>
      <c r="R327" s="595"/>
      <c r="S327" s="595"/>
      <c r="T327" s="595"/>
      <c r="U327" s="665"/>
      <c r="V327" s="665"/>
      <c r="W327" s="692"/>
      <c r="X327" s="595"/>
      <c r="Y327" s="595"/>
      <c r="Z327" s="595"/>
      <c r="AA327" s="665"/>
      <c r="AB327" s="595"/>
      <c r="AC327" s="665"/>
      <c r="AD327" s="691"/>
      <c r="AE327" s="691"/>
      <c r="AF327" s="595"/>
      <c r="AG327" s="595"/>
      <c r="AH327" s="751"/>
      <c r="AI327" s="754"/>
      <c r="AJ327" s="594"/>
      <c r="AK327" s="734"/>
      <c r="AL327" s="754"/>
      <c r="AM327" s="754"/>
      <c r="AN327" s="750"/>
      <c r="AO327" s="753"/>
      <c r="AP327" s="754"/>
      <c r="AQ327" s="754"/>
      <c r="AR327" s="754"/>
    </row>
    <row r="328" spans="1:44" ht="127.5" customHeight="1" x14ac:dyDescent="0.25">
      <c r="A328" s="586">
        <v>277</v>
      </c>
      <c r="B328" s="587" t="s">
        <v>624</v>
      </c>
      <c r="C328" s="587">
        <v>80101706</v>
      </c>
      <c r="D328" s="589" t="s">
        <v>1757</v>
      </c>
      <c r="E328" s="587" t="s">
        <v>48</v>
      </c>
      <c r="F328" s="587">
        <v>1</v>
      </c>
      <c r="G328" s="590" t="s">
        <v>81</v>
      </c>
      <c r="H328" s="786">
        <v>4.5</v>
      </c>
      <c r="I328" s="587" t="s">
        <v>61</v>
      </c>
      <c r="J328" s="587" t="s">
        <v>66</v>
      </c>
      <c r="K328" s="587" t="s">
        <v>1534</v>
      </c>
      <c r="L328" s="592">
        <v>27000000</v>
      </c>
      <c r="M328" s="592">
        <v>27000000</v>
      </c>
      <c r="N328" s="587" t="s">
        <v>51</v>
      </c>
      <c r="O328" s="587" t="s">
        <v>36</v>
      </c>
      <c r="P328" s="587" t="s">
        <v>308</v>
      </c>
      <c r="Q328" s="752"/>
      <c r="R328" s="595"/>
      <c r="S328" s="595"/>
      <c r="T328" s="595"/>
      <c r="U328" s="665"/>
      <c r="V328" s="665"/>
      <c r="W328" s="692"/>
      <c r="X328" s="595"/>
      <c r="Y328" s="595"/>
      <c r="Z328" s="595"/>
      <c r="AA328" s="665"/>
      <c r="AB328" s="595"/>
      <c r="AC328" s="665"/>
      <c r="AD328" s="691"/>
      <c r="AE328" s="691"/>
      <c r="AF328" s="595"/>
      <c r="AG328" s="595"/>
      <c r="AH328" s="751"/>
      <c r="AI328" s="754"/>
      <c r="AJ328" s="594"/>
      <c r="AK328" s="734"/>
      <c r="AL328" s="754"/>
      <c r="AM328" s="754"/>
      <c r="AN328" s="750"/>
      <c r="AO328" s="753"/>
      <c r="AP328" s="754"/>
      <c r="AQ328" s="754"/>
      <c r="AR328" s="754"/>
    </row>
    <row r="329" spans="1:44" ht="132.94999999999999" customHeight="1" x14ac:dyDescent="0.25">
      <c r="A329" s="586">
        <v>278</v>
      </c>
      <c r="B329" s="587" t="s">
        <v>624</v>
      </c>
      <c r="C329" s="587">
        <v>80101706</v>
      </c>
      <c r="D329" s="589" t="s">
        <v>1757</v>
      </c>
      <c r="E329" s="587" t="s">
        <v>48</v>
      </c>
      <c r="F329" s="587">
        <v>1</v>
      </c>
      <c r="G329" s="590" t="s">
        <v>81</v>
      </c>
      <c r="H329" s="786">
        <v>4.5</v>
      </c>
      <c r="I329" s="587" t="s">
        <v>61</v>
      </c>
      <c r="J329" s="587" t="s">
        <v>66</v>
      </c>
      <c r="K329" s="587" t="s">
        <v>1534</v>
      </c>
      <c r="L329" s="592">
        <v>27000000</v>
      </c>
      <c r="M329" s="592">
        <v>27000000</v>
      </c>
      <c r="N329" s="587" t="s">
        <v>51</v>
      </c>
      <c r="O329" s="587" t="s">
        <v>36</v>
      </c>
      <c r="P329" s="587" t="s">
        <v>308</v>
      </c>
      <c r="Q329" s="752"/>
      <c r="R329" s="595"/>
      <c r="S329" s="595"/>
      <c r="T329" s="595"/>
      <c r="U329" s="665"/>
      <c r="V329" s="665"/>
      <c r="W329" s="692"/>
      <c r="X329" s="595"/>
      <c r="Y329" s="595"/>
      <c r="Z329" s="595"/>
      <c r="AA329" s="665"/>
      <c r="AB329" s="595"/>
      <c r="AC329" s="665"/>
      <c r="AD329" s="691"/>
      <c r="AE329" s="691"/>
      <c r="AF329" s="595"/>
      <c r="AG329" s="595"/>
      <c r="AH329" s="751"/>
      <c r="AI329" s="754"/>
      <c r="AJ329" s="594"/>
      <c r="AK329" s="734"/>
      <c r="AL329" s="754"/>
      <c r="AM329" s="754"/>
      <c r="AN329" s="750"/>
      <c r="AO329" s="753"/>
      <c r="AP329" s="754"/>
      <c r="AQ329" s="754"/>
      <c r="AR329" s="754"/>
    </row>
    <row r="330" spans="1:44" ht="98.45" customHeight="1" x14ac:dyDescent="0.25">
      <c r="A330" s="586">
        <v>279</v>
      </c>
      <c r="B330" s="587" t="s">
        <v>624</v>
      </c>
      <c r="C330" s="587">
        <v>80101706</v>
      </c>
      <c r="D330" s="589" t="s">
        <v>1757</v>
      </c>
      <c r="E330" s="587" t="s">
        <v>48</v>
      </c>
      <c r="F330" s="587">
        <v>1</v>
      </c>
      <c r="G330" s="590" t="s">
        <v>81</v>
      </c>
      <c r="H330" s="786">
        <v>4.5</v>
      </c>
      <c r="I330" s="587" t="s">
        <v>61</v>
      </c>
      <c r="J330" s="587" t="s">
        <v>66</v>
      </c>
      <c r="K330" s="587" t="s">
        <v>1534</v>
      </c>
      <c r="L330" s="592">
        <v>27000000</v>
      </c>
      <c r="M330" s="592">
        <v>27000000</v>
      </c>
      <c r="N330" s="587" t="s">
        <v>51</v>
      </c>
      <c r="O330" s="587" t="s">
        <v>36</v>
      </c>
      <c r="P330" s="587" t="s">
        <v>308</v>
      </c>
      <c r="Q330" s="752"/>
      <c r="R330" s="595"/>
      <c r="S330" s="595"/>
      <c r="T330" s="595"/>
      <c r="U330" s="665"/>
      <c r="V330" s="665"/>
      <c r="W330" s="692"/>
      <c r="X330" s="595"/>
      <c r="Y330" s="595"/>
      <c r="Z330" s="595"/>
      <c r="AA330" s="665"/>
      <c r="AB330" s="595"/>
      <c r="AC330" s="665"/>
      <c r="AD330" s="691"/>
      <c r="AE330" s="691"/>
      <c r="AF330" s="595"/>
      <c r="AG330" s="595"/>
      <c r="AH330" s="751"/>
      <c r="AI330" s="754"/>
      <c r="AJ330" s="594"/>
      <c r="AK330" s="734"/>
      <c r="AL330" s="754"/>
      <c r="AM330" s="754"/>
      <c r="AN330" s="750"/>
      <c r="AO330" s="753"/>
      <c r="AP330" s="754"/>
      <c r="AQ330" s="754"/>
      <c r="AR330" s="754"/>
    </row>
    <row r="331" spans="1:44" s="702" customFormat="1" ht="98.45" customHeight="1" x14ac:dyDescent="0.25">
      <c r="A331" s="586">
        <v>280</v>
      </c>
      <c r="B331" s="728" t="s">
        <v>171</v>
      </c>
      <c r="C331" s="791">
        <v>80101706</v>
      </c>
      <c r="D331" s="589" t="s">
        <v>534</v>
      </c>
      <c r="E331" s="587" t="s">
        <v>48</v>
      </c>
      <c r="F331" s="587">
        <v>1</v>
      </c>
      <c r="G331" s="729" t="s">
        <v>81</v>
      </c>
      <c r="H331" s="591" t="s">
        <v>157</v>
      </c>
      <c r="I331" s="587" t="s">
        <v>61</v>
      </c>
      <c r="J331" s="587" t="s">
        <v>66</v>
      </c>
      <c r="K331" s="587" t="s">
        <v>601</v>
      </c>
      <c r="L331" s="592">
        <f>9185500*2</f>
        <v>18371000</v>
      </c>
      <c r="M331" s="593">
        <v>18371000</v>
      </c>
      <c r="N331" s="587" t="s">
        <v>51</v>
      </c>
      <c r="O331" s="587" t="s">
        <v>36</v>
      </c>
      <c r="P331" s="587" t="s">
        <v>533</v>
      </c>
      <c r="Q331" s="752"/>
      <c r="R331" s="703"/>
      <c r="S331" s="703"/>
      <c r="T331" s="703"/>
      <c r="U331" s="665"/>
      <c r="V331" s="665"/>
      <c r="W331" s="692"/>
      <c r="X331" s="703"/>
      <c r="Y331" s="703"/>
      <c r="Z331" s="703"/>
      <c r="AA331" s="665"/>
      <c r="AB331" s="703"/>
      <c r="AC331" s="665"/>
      <c r="AD331" s="691"/>
      <c r="AE331" s="691"/>
      <c r="AF331" s="703"/>
      <c r="AG331" s="703"/>
      <c r="AH331" s="586"/>
      <c r="AI331" s="587"/>
      <c r="AJ331" s="587"/>
      <c r="AK331" s="589"/>
      <c r="AL331" s="587"/>
      <c r="AM331" s="587"/>
      <c r="AN331" s="590"/>
      <c r="AO331" s="591"/>
      <c r="AP331" s="587"/>
      <c r="AQ331" s="587"/>
      <c r="AR331" s="587"/>
    </row>
    <row r="332" spans="1:44" s="702" customFormat="1" ht="98.45" customHeight="1" x14ac:dyDescent="0.25">
      <c r="A332" s="586">
        <v>281</v>
      </c>
      <c r="B332" s="728" t="s">
        <v>1759</v>
      </c>
      <c r="C332" s="791">
        <v>80101706</v>
      </c>
      <c r="D332" s="589" t="s">
        <v>530</v>
      </c>
      <c r="E332" s="587" t="s">
        <v>48</v>
      </c>
      <c r="F332" s="587">
        <v>1</v>
      </c>
      <c r="G332" s="729" t="s">
        <v>81</v>
      </c>
      <c r="H332" s="591" t="s">
        <v>157</v>
      </c>
      <c r="I332" s="587" t="s">
        <v>61</v>
      </c>
      <c r="J332" s="587" t="s">
        <v>66</v>
      </c>
      <c r="K332" s="587" t="s">
        <v>601</v>
      </c>
      <c r="L332" s="592">
        <f>7350000*2</f>
        <v>14700000</v>
      </c>
      <c r="M332" s="593">
        <v>14700000</v>
      </c>
      <c r="N332" s="587" t="s">
        <v>51</v>
      </c>
      <c r="O332" s="587" t="s">
        <v>36</v>
      </c>
      <c r="P332" s="587" t="s">
        <v>531</v>
      </c>
      <c r="Q332" s="752"/>
      <c r="R332" s="703"/>
      <c r="S332" s="703"/>
      <c r="T332" s="703"/>
      <c r="U332" s="665"/>
      <c r="V332" s="665"/>
      <c r="W332" s="692"/>
      <c r="X332" s="703"/>
      <c r="Y332" s="703"/>
      <c r="Z332" s="703"/>
      <c r="AA332" s="665"/>
      <c r="AB332" s="703"/>
      <c r="AC332" s="665"/>
      <c r="AD332" s="691"/>
      <c r="AE332" s="691"/>
      <c r="AF332" s="703"/>
      <c r="AG332" s="703"/>
      <c r="AH332" s="586"/>
      <c r="AI332" s="587"/>
      <c r="AJ332" s="587"/>
      <c r="AK332" s="589"/>
      <c r="AL332" s="587"/>
      <c r="AM332" s="587"/>
      <c r="AN332" s="590"/>
      <c r="AO332" s="591"/>
      <c r="AP332" s="587"/>
      <c r="AQ332" s="587"/>
      <c r="AR332" s="587"/>
    </row>
    <row r="333" spans="1:44" s="702" customFormat="1" ht="98.45" customHeight="1" x14ac:dyDescent="0.25">
      <c r="A333" s="586">
        <v>282</v>
      </c>
      <c r="B333" s="728" t="s">
        <v>266</v>
      </c>
      <c r="C333" s="587">
        <v>80101708</v>
      </c>
      <c r="D333" s="589" t="s">
        <v>1574</v>
      </c>
      <c r="E333" s="587" t="s">
        <v>48</v>
      </c>
      <c r="F333" s="587">
        <v>1</v>
      </c>
      <c r="G333" s="729" t="s">
        <v>81</v>
      </c>
      <c r="H333" s="591" t="s">
        <v>1494</v>
      </c>
      <c r="I333" s="587" t="s">
        <v>61</v>
      </c>
      <c r="J333" s="587" t="s">
        <v>66</v>
      </c>
      <c r="K333" s="587" t="s">
        <v>601</v>
      </c>
      <c r="L333" s="592">
        <f>4897000*3.5</f>
        <v>17139500</v>
      </c>
      <c r="M333" s="593">
        <v>17139500</v>
      </c>
      <c r="N333" s="587" t="s">
        <v>51</v>
      </c>
      <c r="O333" s="587" t="s">
        <v>36</v>
      </c>
      <c r="P333" s="587" t="s">
        <v>1575</v>
      </c>
      <c r="Q333" s="752"/>
      <c r="R333" s="703"/>
      <c r="S333" s="703"/>
      <c r="T333" s="703"/>
      <c r="U333" s="665"/>
      <c r="V333" s="665"/>
      <c r="W333" s="692"/>
      <c r="X333" s="703"/>
      <c r="Y333" s="703"/>
      <c r="Z333" s="703"/>
      <c r="AA333" s="665"/>
      <c r="AB333" s="703"/>
      <c r="AC333" s="665"/>
      <c r="AD333" s="691"/>
      <c r="AE333" s="691"/>
      <c r="AF333" s="703"/>
      <c r="AG333" s="703"/>
      <c r="AH333" s="586"/>
      <c r="AI333" s="587"/>
      <c r="AJ333" s="587"/>
      <c r="AK333" s="589"/>
      <c r="AL333" s="587"/>
      <c r="AM333" s="587"/>
      <c r="AN333" s="590"/>
      <c r="AO333" s="591"/>
      <c r="AP333" s="587"/>
      <c r="AQ333" s="587"/>
      <c r="AR333" s="587"/>
    </row>
    <row r="334" spans="1:44" s="702" customFormat="1" ht="98.45" customHeight="1" x14ac:dyDescent="0.25">
      <c r="A334" s="586">
        <v>283</v>
      </c>
      <c r="B334" s="728" t="s">
        <v>521</v>
      </c>
      <c r="C334" s="587">
        <v>80101706</v>
      </c>
      <c r="D334" s="589" t="s">
        <v>1521</v>
      </c>
      <c r="E334" s="587" t="s">
        <v>48</v>
      </c>
      <c r="F334" s="587">
        <v>1</v>
      </c>
      <c r="G334" s="729" t="s">
        <v>81</v>
      </c>
      <c r="H334" s="591" t="s">
        <v>1494</v>
      </c>
      <c r="I334" s="587" t="s">
        <v>61</v>
      </c>
      <c r="J334" s="587" t="s">
        <v>66</v>
      </c>
      <c r="K334" s="587" t="s">
        <v>610</v>
      </c>
      <c r="L334" s="592">
        <f>6000000*3.5</f>
        <v>21000000</v>
      </c>
      <c r="M334" s="593">
        <v>21000000</v>
      </c>
      <c r="N334" s="587" t="s">
        <v>51</v>
      </c>
      <c r="O334" s="587" t="s">
        <v>36</v>
      </c>
      <c r="P334" s="587" t="s">
        <v>523</v>
      </c>
      <c r="Q334" s="752"/>
      <c r="R334" s="703"/>
      <c r="S334" s="703"/>
      <c r="T334" s="703"/>
      <c r="U334" s="665"/>
      <c r="V334" s="665"/>
      <c r="W334" s="692"/>
      <c r="X334" s="703"/>
      <c r="Y334" s="703"/>
      <c r="Z334" s="703"/>
      <c r="AA334" s="665"/>
      <c r="AB334" s="703"/>
      <c r="AC334" s="665"/>
      <c r="AD334" s="691"/>
      <c r="AE334" s="691"/>
      <c r="AF334" s="703"/>
      <c r="AG334" s="703"/>
      <c r="AH334" s="586"/>
      <c r="AI334" s="587"/>
      <c r="AJ334" s="587"/>
      <c r="AK334" s="589"/>
      <c r="AL334" s="587"/>
      <c r="AM334" s="587"/>
      <c r="AN334" s="590"/>
      <c r="AO334" s="591"/>
      <c r="AP334" s="587"/>
      <c r="AQ334" s="587"/>
      <c r="AR334" s="587"/>
    </row>
    <row r="335" spans="1:44" s="702" customFormat="1" ht="98.45" customHeight="1" x14ac:dyDescent="0.25">
      <c r="A335" s="658">
        <v>284</v>
      </c>
      <c r="B335" s="793" t="s">
        <v>521</v>
      </c>
      <c r="C335" s="794">
        <v>80101706</v>
      </c>
      <c r="D335" s="660" t="s">
        <v>1521</v>
      </c>
      <c r="E335" s="794" t="s">
        <v>48</v>
      </c>
      <c r="F335" s="794">
        <v>1</v>
      </c>
      <c r="G335" s="795" t="s">
        <v>81</v>
      </c>
      <c r="H335" s="662" t="s">
        <v>1494</v>
      </c>
      <c r="I335" s="794" t="s">
        <v>61</v>
      </c>
      <c r="J335" s="794" t="s">
        <v>66</v>
      </c>
      <c r="K335" s="794" t="s">
        <v>610</v>
      </c>
      <c r="L335" s="663">
        <f t="shared" ref="L335:L338" si="34">6000000*3.5</f>
        <v>21000000</v>
      </c>
      <c r="M335" s="664">
        <v>21000000</v>
      </c>
      <c r="N335" s="794" t="s">
        <v>51</v>
      </c>
      <c r="O335" s="794" t="s">
        <v>36</v>
      </c>
      <c r="P335" s="794" t="s">
        <v>523</v>
      </c>
      <c r="Q335" s="752"/>
      <c r="R335" s="665" t="s">
        <v>1770</v>
      </c>
      <c r="S335" s="665" t="s">
        <v>1185</v>
      </c>
      <c r="T335" s="691">
        <v>43342</v>
      </c>
      <c r="U335" s="665" t="s">
        <v>1771</v>
      </c>
      <c r="V335" s="665" t="s">
        <v>672</v>
      </c>
      <c r="W335" s="692">
        <v>2100000</v>
      </c>
      <c r="X335" s="767"/>
      <c r="Y335" s="692">
        <v>2100000</v>
      </c>
      <c r="Z335" s="692">
        <v>2100000</v>
      </c>
      <c r="AA335" s="665" t="s">
        <v>1772</v>
      </c>
      <c r="AB335" s="665">
        <v>34818</v>
      </c>
      <c r="AC335" s="665" t="s">
        <v>1773</v>
      </c>
      <c r="AD335" s="691">
        <v>43342</v>
      </c>
      <c r="AE335" s="691">
        <v>43448</v>
      </c>
      <c r="AF335" s="665" t="s">
        <v>1774</v>
      </c>
      <c r="AG335" s="665" t="s">
        <v>1775</v>
      </c>
      <c r="AH335" s="586"/>
      <c r="AI335" s="587"/>
      <c r="AJ335" s="587"/>
      <c r="AK335" s="589"/>
      <c r="AL335" s="587"/>
      <c r="AM335" s="587"/>
      <c r="AN335" s="590"/>
      <c r="AO335" s="591"/>
      <c r="AP335" s="587"/>
      <c r="AQ335" s="587"/>
      <c r="AR335" s="587"/>
    </row>
    <row r="336" spans="1:44" s="702" customFormat="1" ht="98.45" customHeight="1" x14ac:dyDescent="0.25">
      <c r="A336" s="586">
        <v>285</v>
      </c>
      <c r="B336" s="728" t="s">
        <v>521</v>
      </c>
      <c r="C336" s="587">
        <v>80101706</v>
      </c>
      <c r="D336" s="589" t="s">
        <v>1521</v>
      </c>
      <c r="E336" s="587" t="s">
        <v>48</v>
      </c>
      <c r="F336" s="587">
        <v>1</v>
      </c>
      <c r="G336" s="729" t="s">
        <v>81</v>
      </c>
      <c r="H336" s="591" t="s">
        <v>1494</v>
      </c>
      <c r="I336" s="587" t="s">
        <v>61</v>
      </c>
      <c r="J336" s="587" t="s">
        <v>66</v>
      </c>
      <c r="K336" s="587" t="s">
        <v>610</v>
      </c>
      <c r="L336" s="592">
        <f t="shared" si="34"/>
        <v>21000000</v>
      </c>
      <c r="M336" s="593">
        <v>21000000</v>
      </c>
      <c r="N336" s="587" t="s">
        <v>51</v>
      </c>
      <c r="O336" s="587" t="s">
        <v>36</v>
      </c>
      <c r="P336" s="587" t="s">
        <v>523</v>
      </c>
      <c r="Q336" s="752"/>
      <c r="R336" s="703"/>
      <c r="S336" s="703"/>
      <c r="T336" s="703"/>
      <c r="U336" s="665"/>
      <c r="V336" s="665"/>
      <c r="W336" s="692"/>
      <c r="X336" s="703"/>
      <c r="Y336" s="703"/>
      <c r="Z336" s="703"/>
      <c r="AA336" s="665"/>
      <c r="AB336" s="703"/>
      <c r="AC336" s="665"/>
      <c r="AD336" s="691"/>
      <c r="AE336" s="691"/>
      <c r="AF336" s="703"/>
      <c r="AG336" s="703"/>
      <c r="AH336" s="586"/>
      <c r="AI336" s="587"/>
      <c r="AJ336" s="587"/>
      <c r="AK336" s="589"/>
      <c r="AL336" s="587"/>
      <c r="AM336" s="587"/>
      <c r="AN336" s="590"/>
      <c r="AO336" s="591"/>
      <c r="AP336" s="587"/>
      <c r="AQ336" s="587"/>
      <c r="AR336" s="587"/>
    </row>
    <row r="337" spans="1:44" s="702" customFormat="1" ht="98.45" customHeight="1" x14ac:dyDescent="0.25">
      <c r="A337" s="586">
        <v>286</v>
      </c>
      <c r="B337" s="728" t="s">
        <v>521</v>
      </c>
      <c r="C337" s="587">
        <v>80101706</v>
      </c>
      <c r="D337" s="589" t="s">
        <v>1521</v>
      </c>
      <c r="E337" s="587" t="s">
        <v>48</v>
      </c>
      <c r="F337" s="587">
        <v>1</v>
      </c>
      <c r="G337" s="729" t="s">
        <v>81</v>
      </c>
      <c r="H337" s="591" t="s">
        <v>1494</v>
      </c>
      <c r="I337" s="587" t="s">
        <v>61</v>
      </c>
      <c r="J337" s="587" t="s">
        <v>66</v>
      </c>
      <c r="K337" s="587" t="s">
        <v>610</v>
      </c>
      <c r="L337" s="592">
        <f t="shared" si="34"/>
        <v>21000000</v>
      </c>
      <c r="M337" s="593">
        <v>21000000</v>
      </c>
      <c r="N337" s="587" t="s">
        <v>51</v>
      </c>
      <c r="O337" s="587" t="s">
        <v>36</v>
      </c>
      <c r="P337" s="587" t="s">
        <v>523</v>
      </c>
      <c r="Q337" s="752"/>
      <c r="R337" s="703"/>
      <c r="S337" s="703"/>
      <c r="T337" s="703"/>
      <c r="U337" s="665"/>
      <c r="V337" s="665"/>
      <c r="W337" s="692"/>
      <c r="X337" s="703"/>
      <c r="Y337" s="703"/>
      <c r="Z337" s="703"/>
      <c r="AA337" s="665"/>
      <c r="AB337" s="703"/>
      <c r="AC337" s="665"/>
      <c r="AD337" s="691"/>
      <c r="AE337" s="691"/>
      <c r="AF337" s="703"/>
      <c r="AG337" s="703"/>
      <c r="AH337" s="586"/>
      <c r="AI337" s="587"/>
      <c r="AJ337" s="587"/>
      <c r="AK337" s="589"/>
      <c r="AL337" s="587"/>
      <c r="AM337" s="587"/>
      <c r="AN337" s="590"/>
      <c r="AO337" s="591"/>
      <c r="AP337" s="587"/>
      <c r="AQ337" s="587"/>
      <c r="AR337" s="587"/>
    </row>
    <row r="338" spans="1:44" s="702" customFormat="1" ht="98.45" customHeight="1" x14ac:dyDescent="0.25">
      <c r="A338" s="586">
        <v>287</v>
      </c>
      <c r="B338" s="728" t="s">
        <v>521</v>
      </c>
      <c r="C338" s="587">
        <v>80101706</v>
      </c>
      <c r="D338" s="589" t="s">
        <v>1521</v>
      </c>
      <c r="E338" s="587" t="s">
        <v>48</v>
      </c>
      <c r="F338" s="587">
        <v>1</v>
      </c>
      <c r="G338" s="729" t="s">
        <v>81</v>
      </c>
      <c r="H338" s="591" t="s">
        <v>1494</v>
      </c>
      <c r="I338" s="587" t="s">
        <v>61</v>
      </c>
      <c r="J338" s="587" t="s">
        <v>66</v>
      </c>
      <c r="K338" s="587" t="s">
        <v>610</v>
      </c>
      <c r="L338" s="592">
        <f t="shared" si="34"/>
        <v>21000000</v>
      </c>
      <c r="M338" s="593">
        <v>21000000</v>
      </c>
      <c r="N338" s="587" t="s">
        <v>51</v>
      </c>
      <c r="O338" s="587" t="s">
        <v>36</v>
      </c>
      <c r="P338" s="587" t="s">
        <v>523</v>
      </c>
      <c r="Q338" s="752"/>
      <c r="R338" s="703"/>
      <c r="S338" s="703"/>
      <c r="T338" s="703"/>
      <c r="U338" s="665"/>
      <c r="V338" s="665"/>
      <c r="W338" s="692"/>
      <c r="X338" s="703"/>
      <c r="Y338" s="703"/>
      <c r="Z338" s="703"/>
      <c r="AA338" s="665"/>
      <c r="AB338" s="703"/>
      <c r="AC338" s="665"/>
      <c r="AD338" s="691"/>
      <c r="AE338" s="691"/>
      <c r="AF338" s="703"/>
      <c r="AG338" s="703"/>
      <c r="AH338" s="586"/>
      <c r="AI338" s="587"/>
      <c r="AJ338" s="587"/>
      <c r="AK338" s="589"/>
      <c r="AL338" s="587"/>
      <c r="AM338" s="587"/>
      <c r="AN338" s="590"/>
      <c r="AO338" s="591"/>
      <c r="AP338" s="587"/>
      <c r="AQ338" s="587"/>
      <c r="AR338" s="587"/>
    </row>
    <row r="339" spans="1:44" s="702" customFormat="1" ht="147" customHeight="1" x14ac:dyDescent="0.25">
      <c r="A339" s="658">
        <v>288</v>
      </c>
      <c r="B339" s="794" t="s">
        <v>624</v>
      </c>
      <c r="C339" s="659">
        <v>80101706</v>
      </c>
      <c r="D339" s="660" t="s">
        <v>1762</v>
      </c>
      <c r="E339" s="794" t="s">
        <v>48</v>
      </c>
      <c r="F339" s="794">
        <v>1</v>
      </c>
      <c r="G339" s="661" t="s">
        <v>81</v>
      </c>
      <c r="H339" s="662" t="s">
        <v>294</v>
      </c>
      <c r="I339" s="794" t="s">
        <v>61</v>
      </c>
      <c r="J339" s="794" t="s">
        <v>66</v>
      </c>
      <c r="K339" s="794" t="s">
        <v>619</v>
      </c>
      <c r="L339" s="663">
        <v>20250000</v>
      </c>
      <c r="M339" s="664">
        <v>20250000</v>
      </c>
      <c r="N339" s="794" t="s">
        <v>51</v>
      </c>
      <c r="O339" s="794" t="s">
        <v>36</v>
      </c>
      <c r="P339" s="794" t="s">
        <v>308</v>
      </c>
      <c r="Q339" s="752"/>
      <c r="R339" s="665" t="s">
        <v>1765</v>
      </c>
      <c r="S339" s="665" t="s">
        <v>1766</v>
      </c>
      <c r="T339" s="691">
        <v>43343</v>
      </c>
      <c r="U339" s="665" t="s">
        <v>1767</v>
      </c>
      <c r="V339" s="665" t="s">
        <v>672</v>
      </c>
      <c r="W339" s="692">
        <v>16550000</v>
      </c>
      <c r="X339" s="767"/>
      <c r="Y339" s="692">
        <v>16500000</v>
      </c>
      <c r="Z339" s="692">
        <v>16550000</v>
      </c>
      <c r="AA339" s="665" t="s">
        <v>1768</v>
      </c>
      <c r="AB339" s="665">
        <v>35218</v>
      </c>
      <c r="AC339" s="665" t="s">
        <v>1626</v>
      </c>
      <c r="AD339" s="691">
        <v>43343</v>
      </c>
      <c r="AE339" s="691">
        <v>43455</v>
      </c>
      <c r="AF339" s="665" t="s">
        <v>1769</v>
      </c>
      <c r="AG339" s="665" t="s">
        <v>890</v>
      </c>
      <c r="AH339" s="586"/>
      <c r="AI339" s="587"/>
      <c r="AJ339" s="587"/>
      <c r="AK339" s="589"/>
      <c r="AL339" s="587"/>
      <c r="AM339" s="587"/>
      <c r="AN339" s="590"/>
      <c r="AO339" s="591"/>
      <c r="AP339" s="587"/>
      <c r="AQ339" s="587"/>
      <c r="AR339" s="587"/>
    </row>
    <row r="340" spans="1:44" s="702" customFormat="1" ht="110.45" customHeight="1" x14ac:dyDescent="0.25">
      <c r="A340" s="904">
        <f t="shared" ref="A340" si="35">SUM(A339+1)</f>
        <v>289</v>
      </c>
      <c r="B340" s="587" t="s">
        <v>316</v>
      </c>
      <c r="C340" s="791">
        <v>78181500</v>
      </c>
      <c r="D340" s="589" t="s">
        <v>591</v>
      </c>
      <c r="E340" s="587" t="s">
        <v>48</v>
      </c>
      <c r="F340" s="587">
        <v>1</v>
      </c>
      <c r="G340" s="590" t="s">
        <v>77</v>
      </c>
      <c r="H340" s="636" t="s">
        <v>1260</v>
      </c>
      <c r="I340" s="587" t="s">
        <v>441</v>
      </c>
      <c r="J340" s="587" t="s">
        <v>35</v>
      </c>
      <c r="K340" s="587" t="s">
        <v>459</v>
      </c>
      <c r="L340" s="592">
        <v>48000000</v>
      </c>
      <c r="M340" s="592">
        <v>1000000</v>
      </c>
      <c r="N340" s="587" t="s">
        <v>49</v>
      </c>
      <c r="O340" s="587" t="s">
        <v>36</v>
      </c>
      <c r="P340" s="587" t="s">
        <v>320</v>
      </c>
      <c r="Q340" s="752"/>
      <c r="R340" s="703"/>
      <c r="S340" s="703"/>
      <c r="T340" s="703"/>
      <c r="U340" s="703"/>
      <c r="V340" s="703"/>
      <c r="W340" s="703"/>
      <c r="X340" s="703"/>
      <c r="Y340" s="703"/>
      <c r="Z340" s="703"/>
      <c r="AA340" s="703"/>
      <c r="AB340" s="703"/>
      <c r="AC340" s="703"/>
      <c r="AD340" s="703"/>
      <c r="AE340" s="703"/>
      <c r="AF340" s="703"/>
      <c r="AG340" s="703"/>
      <c r="AH340" s="586"/>
      <c r="AI340" s="587"/>
      <c r="AJ340" s="587"/>
      <c r="AK340" s="589"/>
      <c r="AL340" s="587"/>
      <c r="AM340" s="587"/>
      <c r="AN340" s="590"/>
      <c r="AO340" s="591"/>
      <c r="AP340" s="587"/>
      <c r="AQ340" s="587"/>
      <c r="AR340" s="587"/>
    </row>
    <row r="341" spans="1:44" s="702" customFormat="1" ht="122.45" customHeight="1" x14ac:dyDescent="0.25">
      <c r="A341" s="905"/>
      <c r="B341" s="587" t="s">
        <v>316</v>
      </c>
      <c r="C341" s="791">
        <v>78181501</v>
      </c>
      <c r="D341" s="589" t="s">
        <v>591</v>
      </c>
      <c r="E341" s="587" t="s">
        <v>48</v>
      </c>
      <c r="F341" s="587">
        <v>2</v>
      </c>
      <c r="G341" s="590" t="s">
        <v>77</v>
      </c>
      <c r="H341" s="636" t="s">
        <v>1260</v>
      </c>
      <c r="I341" s="587" t="s">
        <v>441</v>
      </c>
      <c r="J341" s="587" t="s">
        <v>35</v>
      </c>
      <c r="K341" s="587" t="s">
        <v>44</v>
      </c>
      <c r="L341" s="592">
        <v>63000000</v>
      </c>
      <c r="M341" s="592">
        <v>2000000</v>
      </c>
      <c r="N341" s="587" t="s">
        <v>49</v>
      </c>
      <c r="O341" s="587" t="s">
        <v>36</v>
      </c>
      <c r="P341" s="587" t="s">
        <v>320</v>
      </c>
      <c r="Q341" s="752"/>
      <c r="R341" s="703"/>
      <c r="S341" s="703"/>
      <c r="T341" s="703"/>
      <c r="U341" s="703"/>
      <c r="V341" s="703"/>
      <c r="W341" s="703"/>
      <c r="X341" s="703"/>
      <c r="Y341" s="703"/>
      <c r="Z341" s="703"/>
      <c r="AA341" s="703"/>
      <c r="AB341" s="703"/>
      <c r="AC341" s="703"/>
      <c r="AD341" s="703"/>
      <c r="AE341" s="703"/>
      <c r="AF341" s="703"/>
      <c r="AG341" s="703"/>
      <c r="AH341" s="586"/>
      <c r="AI341" s="587"/>
      <c r="AJ341" s="587"/>
      <c r="AK341" s="589"/>
      <c r="AL341" s="587"/>
      <c r="AM341" s="587"/>
      <c r="AN341" s="590"/>
      <c r="AO341" s="591"/>
      <c r="AP341" s="587"/>
      <c r="AQ341" s="587"/>
      <c r="AR341" s="587"/>
    </row>
    <row r="342" spans="1:44" s="702" customFormat="1" ht="98.45" customHeight="1" x14ac:dyDescent="0.25">
      <c r="A342" s="776"/>
      <c r="B342" s="777"/>
      <c r="C342" s="777"/>
      <c r="D342" s="778"/>
      <c r="E342" s="777"/>
      <c r="F342" s="777"/>
      <c r="G342" s="779"/>
      <c r="H342" s="780"/>
      <c r="I342" s="777"/>
      <c r="J342" s="777"/>
      <c r="K342" s="777"/>
      <c r="L342" s="781"/>
      <c r="M342" s="787"/>
      <c r="N342" s="777"/>
      <c r="O342" s="777"/>
      <c r="P342" s="777"/>
      <c r="Q342" s="788"/>
      <c r="R342" s="788"/>
      <c r="S342" s="788"/>
      <c r="T342" s="788"/>
      <c r="U342" s="788"/>
      <c r="V342" s="788"/>
      <c r="W342" s="788"/>
      <c r="X342" s="788"/>
      <c r="Y342" s="788"/>
      <c r="Z342" s="788"/>
      <c r="AA342" s="788"/>
      <c r="AB342" s="788"/>
      <c r="AC342" s="788"/>
      <c r="AD342" s="788"/>
      <c r="AE342" s="788"/>
      <c r="AF342" s="788"/>
      <c r="AG342" s="788"/>
      <c r="AH342" s="776"/>
      <c r="AI342" s="777"/>
      <c r="AJ342" s="777"/>
      <c r="AK342" s="778"/>
      <c r="AL342" s="777"/>
      <c r="AM342" s="777"/>
      <c r="AN342" s="779"/>
      <c r="AO342" s="780"/>
      <c r="AP342" s="777"/>
      <c r="AQ342" s="777"/>
      <c r="AR342" s="777"/>
    </row>
    <row r="343" spans="1:44" s="702" customFormat="1" ht="98.45" customHeight="1" x14ac:dyDescent="0.25">
      <c r="A343" s="776"/>
      <c r="B343" s="777"/>
      <c r="C343" s="777"/>
      <c r="D343" s="778"/>
      <c r="E343" s="777"/>
      <c r="F343" s="777"/>
      <c r="G343" s="779"/>
      <c r="H343" s="780"/>
      <c r="I343" s="777"/>
      <c r="J343" s="777"/>
      <c r="K343" s="777"/>
      <c r="L343" s="781"/>
      <c r="M343" s="787"/>
      <c r="N343" s="777"/>
      <c r="O343" s="777"/>
      <c r="P343" s="777"/>
      <c r="Q343" s="788"/>
      <c r="R343" s="788"/>
      <c r="S343" s="788"/>
      <c r="T343" s="788"/>
      <c r="U343" s="788"/>
      <c r="V343" s="788"/>
      <c r="W343" s="788"/>
      <c r="X343" s="788"/>
      <c r="Y343" s="788"/>
      <c r="Z343" s="788"/>
      <c r="AA343" s="788"/>
      <c r="AB343" s="788"/>
      <c r="AC343" s="788"/>
      <c r="AD343" s="788"/>
      <c r="AE343" s="788"/>
      <c r="AF343" s="788"/>
      <c r="AG343" s="788"/>
      <c r="AH343" s="776"/>
      <c r="AI343" s="777"/>
      <c r="AJ343" s="777"/>
      <c r="AK343" s="778"/>
      <c r="AL343" s="777"/>
      <c r="AM343" s="777"/>
      <c r="AN343" s="779"/>
      <c r="AO343" s="780"/>
      <c r="AP343" s="777"/>
      <c r="AQ343" s="777"/>
      <c r="AR343" s="777"/>
    </row>
    <row r="344" spans="1:44" ht="138.6" customHeight="1" x14ac:dyDescent="0.25">
      <c r="D344" s="637" t="s">
        <v>589</v>
      </c>
      <c r="K344" s="637" t="s">
        <v>1598</v>
      </c>
    </row>
  </sheetData>
  <autoFilter ref="A19:AG341"/>
  <mergeCells count="239">
    <mergeCell ref="A340:A341"/>
    <mergeCell ref="AB23:AB24"/>
    <mergeCell ref="D10:E10"/>
    <mergeCell ref="D11:E11"/>
    <mergeCell ref="I11:M15"/>
    <mergeCell ref="D12:E12"/>
    <mergeCell ref="D13:E13"/>
    <mergeCell ref="D14:E14"/>
    <mergeCell ref="D15:E15"/>
    <mergeCell ref="A40:A41"/>
    <mergeCell ref="T46:T47"/>
    <mergeCell ref="U46:U47"/>
    <mergeCell ref="C17:D17"/>
    <mergeCell ref="G17:H17"/>
    <mergeCell ref="G18:H18"/>
    <mergeCell ref="A23:A24"/>
    <mergeCell ref="A34:A35"/>
    <mergeCell ref="H64:H69"/>
    <mergeCell ref="I64:I69"/>
    <mergeCell ref="N64:N69"/>
    <mergeCell ref="O64:O69"/>
    <mergeCell ref="P64:P69"/>
    <mergeCell ref="A87:A88"/>
    <mergeCell ref="A106:A107"/>
    <mergeCell ref="B2:P2"/>
    <mergeCell ref="C4:D4"/>
    <mergeCell ref="D5:E5"/>
    <mergeCell ref="I5:M9"/>
    <mergeCell ref="D6:E6"/>
    <mergeCell ref="D7:E7"/>
    <mergeCell ref="D8:E8"/>
    <mergeCell ref="D9:E9"/>
    <mergeCell ref="A44:A45"/>
    <mergeCell ref="AF46:AF47"/>
    <mergeCell ref="AG46:AG47"/>
    <mergeCell ref="A52:A53"/>
    <mergeCell ref="A64:A70"/>
    <mergeCell ref="B64:B69"/>
    <mergeCell ref="C64:C69"/>
    <mergeCell ref="D64:D69"/>
    <mergeCell ref="E64:E69"/>
    <mergeCell ref="F64:F69"/>
    <mergeCell ref="G64:G69"/>
    <mergeCell ref="V46:V47"/>
    <mergeCell ref="AA46:AA47"/>
    <mergeCell ref="AB46:AB47"/>
    <mergeCell ref="AC46:AC47"/>
    <mergeCell ref="AD46:AD47"/>
    <mergeCell ref="AE46:AE47"/>
    <mergeCell ref="R46:R47"/>
    <mergeCell ref="S46:S47"/>
    <mergeCell ref="A95:A96"/>
    <mergeCell ref="A99:A100"/>
    <mergeCell ref="T91:T92"/>
    <mergeCell ref="U91:U92"/>
    <mergeCell ref="V91:V92"/>
    <mergeCell ref="AA91:AA92"/>
    <mergeCell ref="AB91:AB92"/>
    <mergeCell ref="AC91:AC92"/>
    <mergeCell ref="A91:A92"/>
    <mergeCell ref="B91:B92"/>
    <mergeCell ref="N91:N92"/>
    <mergeCell ref="O91:O92"/>
    <mergeCell ref="P91:P92"/>
    <mergeCell ref="S91:S92"/>
    <mergeCell ref="AE111:AE112"/>
    <mergeCell ref="AF111:AF112"/>
    <mergeCell ref="AG111:AG112"/>
    <mergeCell ref="AD91:AD92"/>
    <mergeCell ref="AE91:AE92"/>
    <mergeCell ref="AF91:AF92"/>
    <mergeCell ref="AD109:AD110"/>
    <mergeCell ref="AE109:AE110"/>
    <mergeCell ref="AF109:AF110"/>
    <mergeCell ref="AG91:AG92"/>
    <mergeCell ref="AG109:AG110"/>
    <mergeCell ref="AA109:AA110"/>
    <mergeCell ref="AB109:AB110"/>
    <mergeCell ref="AC109:AC110"/>
    <mergeCell ref="A113:A114"/>
    <mergeCell ref="S113:S114"/>
    <mergeCell ref="AA113:AA114"/>
    <mergeCell ref="AB113:AB114"/>
    <mergeCell ref="AC113:AC114"/>
    <mergeCell ref="AD113:AD114"/>
    <mergeCell ref="A111:A112"/>
    <mergeCell ref="S111:S112"/>
    <mergeCell ref="AA111:AA112"/>
    <mergeCell ref="AB111:AB112"/>
    <mergeCell ref="AC111:AC112"/>
    <mergeCell ref="AD111:AD112"/>
    <mergeCell ref="A109:A110"/>
    <mergeCell ref="S109:S110"/>
    <mergeCell ref="AE113:AE114"/>
    <mergeCell ref="AF113:AF114"/>
    <mergeCell ref="AG113:AG114"/>
    <mergeCell ref="A115:A116"/>
    <mergeCell ref="A127:A128"/>
    <mergeCell ref="R127:R128"/>
    <mergeCell ref="S127:S128"/>
    <mergeCell ref="T127:T128"/>
    <mergeCell ref="U127:U128"/>
    <mergeCell ref="V127:V128"/>
    <mergeCell ref="AA127:AA128"/>
    <mergeCell ref="AC127:AC128"/>
    <mergeCell ref="AD127:AD128"/>
    <mergeCell ref="AE127:AE128"/>
    <mergeCell ref="AF127:AF128"/>
    <mergeCell ref="AG127:AG128"/>
    <mergeCell ref="A129:A130"/>
    <mergeCell ref="R129:R130"/>
    <mergeCell ref="S129:S130"/>
    <mergeCell ref="T129:T130"/>
    <mergeCell ref="U129:U130"/>
    <mergeCell ref="AG129:AG130"/>
    <mergeCell ref="V129:V130"/>
    <mergeCell ref="AA129:AA130"/>
    <mergeCell ref="AC129:AC130"/>
    <mergeCell ref="AD129:AD130"/>
    <mergeCell ref="AE129:AE130"/>
    <mergeCell ref="AF129:AF130"/>
    <mergeCell ref="AE131:AE132"/>
    <mergeCell ref="AF131:AF132"/>
    <mergeCell ref="AG131:AG132"/>
    <mergeCell ref="A133:A134"/>
    <mergeCell ref="R133:R134"/>
    <mergeCell ref="S133:S134"/>
    <mergeCell ref="T133:T134"/>
    <mergeCell ref="U133:U134"/>
    <mergeCell ref="V133:V134"/>
    <mergeCell ref="AA133:AA134"/>
    <mergeCell ref="AC133:AC134"/>
    <mergeCell ref="AD133:AD134"/>
    <mergeCell ref="AE133:AE134"/>
    <mergeCell ref="AF133:AF134"/>
    <mergeCell ref="AG133:AG134"/>
    <mergeCell ref="A131:A132"/>
    <mergeCell ref="R131:R132"/>
    <mergeCell ref="S131:S132"/>
    <mergeCell ref="T131:T132"/>
    <mergeCell ref="U131:U132"/>
    <mergeCell ref="V131:V132"/>
    <mergeCell ref="AA131:AA132"/>
    <mergeCell ref="AC131:AC132"/>
    <mergeCell ref="AD131:AD132"/>
    <mergeCell ref="A138:A139"/>
    <mergeCell ref="R138:R139"/>
    <mergeCell ref="S138:S139"/>
    <mergeCell ref="T138:T139"/>
    <mergeCell ref="U138:U139"/>
    <mergeCell ref="AE138:AE139"/>
    <mergeCell ref="AF138:AF139"/>
    <mergeCell ref="AG138:AG139"/>
    <mergeCell ref="A140:A141"/>
    <mergeCell ref="S140:S141"/>
    <mergeCell ref="T140:T141"/>
    <mergeCell ref="U140:U141"/>
    <mergeCell ref="V140:V141"/>
    <mergeCell ref="AA140:AA141"/>
    <mergeCell ref="AB140:AB141"/>
    <mergeCell ref="V138:V139"/>
    <mergeCell ref="W138:W139"/>
    <mergeCell ref="AA138:AA139"/>
    <mergeCell ref="AB138:AB139"/>
    <mergeCell ref="AC138:AC139"/>
    <mergeCell ref="AD138:AD139"/>
    <mergeCell ref="AC140:AC141"/>
    <mergeCell ref="AD140:AD141"/>
    <mergeCell ref="AE140:AE141"/>
    <mergeCell ref="AF140:AF141"/>
    <mergeCell ref="AG140:AG141"/>
    <mergeCell ref="A143:A144"/>
    <mergeCell ref="R143:R144"/>
    <mergeCell ref="S143:S144"/>
    <mergeCell ref="T143:T144"/>
    <mergeCell ref="U143:U144"/>
    <mergeCell ref="AF143:AF144"/>
    <mergeCell ref="AG143:AG144"/>
    <mergeCell ref="AC143:AC144"/>
    <mergeCell ref="AD143:AD144"/>
    <mergeCell ref="AE143:AE144"/>
    <mergeCell ref="A308:A309"/>
    <mergeCell ref="R308:R309"/>
    <mergeCell ref="S308:S309"/>
    <mergeCell ref="T308:T309"/>
    <mergeCell ref="U308:U309"/>
    <mergeCell ref="A263:A264"/>
    <mergeCell ref="R263:R264"/>
    <mergeCell ref="S263:S264"/>
    <mergeCell ref="T263:T264"/>
    <mergeCell ref="U263:U264"/>
    <mergeCell ref="A312:A313"/>
    <mergeCell ref="R312:R313"/>
    <mergeCell ref="S312:S313"/>
    <mergeCell ref="T312:T313"/>
    <mergeCell ref="U312:U313"/>
    <mergeCell ref="AF308:AF309"/>
    <mergeCell ref="AG308:AG309"/>
    <mergeCell ref="A310:A311"/>
    <mergeCell ref="R310:R311"/>
    <mergeCell ref="S310:S311"/>
    <mergeCell ref="T310:T311"/>
    <mergeCell ref="U310:U311"/>
    <mergeCell ref="V310:V311"/>
    <mergeCell ref="AA310:AA311"/>
    <mergeCell ref="AB310:AB311"/>
    <mergeCell ref="V308:V309"/>
    <mergeCell ref="AA308:AA309"/>
    <mergeCell ref="AB308:AB309"/>
    <mergeCell ref="AC308:AC309"/>
    <mergeCell ref="AD308:AD309"/>
    <mergeCell ref="AE308:AE309"/>
    <mergeCell ref="AF312:AF313"/>
    <mergeCell ref="AG312:AG313"/>
    <mergeCell ref="V312:V313"/>
    <mergeCell ref="S87:S88"/>
    <mergeCell ref="U87:U88"/>
    <mergeCell ref="V87:V88"/>
    <mergeCell ref="AG310:AG311"/>
    <mergeCell ref="AA312:AA313"/>
    <mergeCell ref="AB312:AB313"/>
    <mergeCell ref="AC312:AC313"/>
    <mergeCell ref="AD312:AD313"/>
    <mergeCell ref="AE312:AE313"/>
    <mergeCell ref="AC310:AC311"/>
    <mergeCell ref="AD310:AD311"/>
    <mergeCell ref="AE310:AE311"/>
    <mergeCell ref="AF310:AF311"/>
    <mergeCell ref="AC263:AC264"/>
    <mergeCell ref="AD263:AD264"/>
    <mergeCell ref="AE263:AE264"/>
    <mergeCell ref="AF263:AF264"/>
    <mergeCell ref="AG263:AG264"/>
    <mergeCell ref="V263:V264"/>
    <mergeCell ref="AA263:AA264"/>
    <mergeCell ref="AB263:AB264"/>
    <mergeCell ref="V143:V144"/>
    <mergeCell ref="AA143:AA144"/>
    <mergeCell ref="AB143:AB144"/>
  </mergeCells>
  <printOptions horizontalCentered="1"/>
  <pageMargins left="0.51181102362204722" right="0.51181102362204722" top="0.55118110236220474" bottom="0.74803149606299213" header="0.31496062992125984" footer="0.31496062992125984"/>
  <pageSetup paperSize="14" scale="21" orientation="landscape" horizontalDpi="4294967294" verticalDpi="4294967294" r:id="rId1"/>
  <headerFooter>
    <oddFooter>&amp;C&amp;22Página &amp;P&amp;R&amp;22 2018-01-04_PAA_2018</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[4]LISTAS!#REF!</xm:f>
          </x14:formula1>
          <xm:sqref>AG286:AG294 AG307:AG308 V286:V294 V307:V308 AG317 AG296:AG301 AG310 AG312 AG314:AG315 AG284 AG303:AG305 AG279:AG282 AG251 V310 V312 V314:V317 V284 V296:V305 V319:V339 V279:V282 V251 AG64:AG71 AG39 AG34:AG35 AG45:AG46 AG91 AG258 AG84 AG22:AG25 AG37 AG52 AG59 AG56 AG255:AG256 AG268:AG276 AG50 V255:V256 V269:V276 V50</xm:sqref>
        </x14:dataValidation>
        <x14:dataValidation type="list" allowBlank="1" showInputMessage="1" showErrorMessage="1">
          <x14:formula1>
            <xm:f>[5]LISTAS!#REF!</xm:f>
          </x14:formula1>
          <xm:sqref>AG113</xm:sqref>
        </x14:dataValidation>
        <x14:dataValidation type="list" allowBlank="1" showInputMessage="1" showErrorMessage="1">
          <x14:formula1>
            <xm:f>[1]LISTAS!#REF!</xm:f>
          </x14:formula1>
          <xm:sqref>AG109 AG111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Hoja1</vt:lpstr>
      <vt:lpstr>DISTRIBUCION PRESUP. 2018</vt:lpstr>
      <vt:lpstr>PLAN NECES DESPURADO 2-01-2018</vt:lpstr>
      <vt:lpstr>traslados (2)</vt:lpstr>
      <vt:lpstr>CAJA MENOR 2018</vt:lpstr>
      <vt:lpstr>PAA-PRESUP 23-07-2018</vt:lpstr>
      <vt:lpstr>PAA -28-2018</vt:lpstr>
      <vt:lpstr>'PAA -28-2018'!Área_de_impresión</vt:lpstr>
      <vt:lpstr>'PAA-PRESUP 23-07-2018'!Área_de_impresión</vt:lpstr>
      <vt:lpstr>'PAA -28-2018'!Títulos_a_imprimir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William Enrique Cortez Gomez</cp:lastModifiedBy>
  <cp:lastPrinted>2018-08-28T15:34:37Z</cp:lastPrinted>
  <dcterms:created xsi:type="dcterms:W3CDTF">2015-12-14T22:18:47Z</dcterms:created>
  <dcterms:modified xsi:type="dcterms:W3CDTF">2018-09-03T16:45:09Z</dcterms:modified>
</cp:coreProperties>
</file>