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endales\OneDrive - Departamento Administrativo De la Funcion Publica\Jeff_2021\PRESUPUESTO\ACUERDO_DESEMPEÑO\"/>
    </mc:Choice>
  </mc:AlternateContent>
  <xr:revisionPtr revIDLastSave="2" documentId="8_{6FED4AA2-A880-494B-AAF9-CEE00998BC3E}" xr6:coauthVersionLast="36" xr6:coauthVersionMax="47" xr10:uidLastSave="{5E9E4BE2-C2CD-4475-A40E-04A34327CD0E}"/>
  <workbookProtection workbookAlgorithmName="SHA-512" workbookHashValue="vzHUmvSR0zVxALbt8sC3e09Qqwmw1MjMbjnDh2JcS+x2iojZb+ueqAprw9gE3FP7UZS0a3WO33fmKkg2kz503Q==" workbookSaltValue="/7nw/eC7Utl6zN2QZr/iIQ==" workbookSpinCount="100000" lockStructure="1"/>
  <bookViews>
    <workbookView xWindow="-120" yWindow="-120" windowWidth="20730" windowHeight="11160" activeTab="1" xr2:uid="{FD674F07-DA85-454B-91C8-8E25E6CEBAE1}"/>
  </bookViews>
  <sheets>
    <sheet name="MENÚ" sheetId="12" r:id="rId1"/>
    <sheet name="TOTAL Sector" sheetId="15" r:id="rId2"/>
    <sheet name="TOTAL ESAP" sheetId="11" r:id="rId3"/>
    <sheet name="TOTAL Función Pública" sheetId="14" r:id="rId4"/>
    <sheet name="Funcionamiento FP" sheetId="1" r:id="rId5"/>
    <sheet name="Total Inversión Función Pública" sheetId="9" r:id="rId6"/>
    <sheet name="Inversion Politicas" sheetId="7" r:id="rId7"/>
    <sheet name="Inversion Asesoria " sheetId="6" r:id="rId8"/>
    <sheet name="Inversion TICs" sheetId="8" r:id="rId9"/>
    <sheet name="Inversion Infraestructura" sheetId="5" r:id="rId10"/>
    <sheet name="Proyectos inversion " sheetId="16" r:id="rId11"/>
  </sheets>
  <externalReferences>
    <externalReference r:id="rId12"/>
  </externalReferences>
  <definedNames>
    <definedName name="_xlnm._FilterDatabase" localSheetId="4" hidden="1">'Funcionamiento FP'!$A$7:$U$36</definedName>
    <definedName name="_xlnm._FilterDatabase" localSheetId="7" hidden="1">'Inversion Asesoria '!$A$9:$C$21</definedName>
    <definedName name="_xlnm._FilterDatabase" localSheetId="9" hidden="1">'Inversion Infraestructura'!$A$9:$C$21</definedName>
    <definedName name="_xlnm._FilterDatabase" localSheetId="6" hidden="1">'Inversion Politicas'!$A$9:$C$21</definedName>
    <definedName name="_xlnm._FilterDatabase" localSheetId="8" hidden="1">'Inversion TICs'!$A$8:$C$20</definedName>
    <definedName name="_xlnm._FilterDatabase" localSheetId="2" hidden="1">'TOTAL ESAP'!$A$9:$K$37</definedName>
    <definedName name="_xlnm._FilterDatabase" localSheetId="3" hidden="1">'TOTAL Función Pública'!$A$9:$E$21</definedName>
    <definedName name="_xlnm._FilterDatabase" localSheetId="5" hidden="1">'Total Inversión Función Pública'!$A$12:$E$40</definedName>
    <definedName name="_xlnm._FilterDatabase" localSheetId="1" hidden="1">'TOTAL Sector'!$A$9:$G$37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9" l="1"/>
  <c r="B18" i="9"/>
  <c r="B15" i="14"/>
  <c r="B15" i="15"/>
  <c r="B9" i="15" s="1"/>
  <c r="B13" i="9"/>
  <c r="B10" i="14"/>
  <c r="B15" i="9"/>
  <c r="B16" i="9"/>
  <c r="B13" i="14"/>
  <c r="B13" i="15"/>
  <c r="B17" i="9"/>
  <c r="B14" i="14"/>
  <c r="B14" i="15"/>
  <c r="D18" i="9"/>
  <c r="D15" i="14"/>
  <c r="E15" i="15" s="1"/>
  <c r="D13" i="9"/>
  <c r="D10" i="14"/>
  <c r="D14" i="9"/>
  <c r="D11" i="14"/>
  <c r="D15" i="9"/>
  <c r="D16" i="9"/>
  <c r="D13" i="14" s="1"/>
  <c r="D17" i="9"/>
  <c r="D14" i="14"/>
  <c r="E13" i="9"/>
  <c r="F13" i="9" s="1"/>
  <c r="F14" i="9" s="1"/>
  <c r="E14" i="9"/>
  <c r="E15" i="9"/>
  <c r="E16" i="9"/>
  <c r="E17" i="9"/>
  <c r="E18" i="9"/>
  <c r="E19" i="9"/>
  <c r="E20" i="9"/>
  <c r="E17" i="14" s="1"/>
  <c r="E21" i="9"/>
  <c r="E22" i="9"/>
  <c r="E23" i="9"/>
  <c r="E24" i="9"/>
  <c r="E9" i="11"/>
  <c r="E23" i="11" s="1"/>
  <c r="C13" i="9"/>
  <c r="C14" i="9"/>
  <c r="C15" i="9"/>
  <c r="C16" i="9"/>
  <c r="C17" i="9"/>
  <c r="C18" i="9"/>
  <c r="C20" i="9"/>
  <c r="C21" i="9"/>
  <c r="C22" i="9"/>
  <c r="C23" i="9"/>
  <c r="C24" i="9"/>
  <c r="U8" i="1"/>
  <c r="G11" i="7"/>
  <c r="G12" i="7"/>
  <c r="G13" i="7"/>
  <c r="G14" i="7"/>
  <c r="G15" i="7"/>
  <c r="G16" i="7"/>
  <c r="G17" i="7"/>
  <c r="G18" i="7"/>
  <c r="G19" i="7"/>
  <c r="G20" i="7"/>
  <c r="G21" i="7"/>
  <c r="G10" i="7"/>
  <c r="H10" i="7"/>
  <c r="H11" i="7"/>
  <c r="H12" i="7"/>
  <c r="H13" i="7"/>
  <c r="H14" i="7"/>
  <c r="B4" i="1"/>
  <c r="B16" i="7"/>
  <c r="B19" i="9"/>
  <c r="B16" i="14"/>
  <c r="B16" i="15"/>
  <c r="B11" i="7"/>
  <c r="B14" i="9"/>
  <c r="B11" i="14"/>
  <c r="B10" i="7"/>
  <c r="N13" i="11"/>
  <c r="N14" i="11"/>
  <c r="N15" i="11"/>
  <c r="N16" i="11"/>
  <c r="N17" i="11"/>
  <c r="N18" i="11"/>
  <c r="N19" i="11"/>
  <c r="N20" i="11"/>
  <c r="N21" i="11"/>
  <c r="K17" i="11"/>
  <c r="K18" i="11"/>
  <c r="K19" i="11"/>
  <c r="K20" i="11"/>
  <c r="K21" i="11"/>
  <c r="I41" i="11"/>
  <c r="I42" i="11"/>
  <c r="I43" i="11"/>
  <c r="I40" i="11"/>
  <c r="G41" i="11"/>
  <c r="G42" i="11"/>
  <c r="G43" i="11"/>
  <c r="G44" i="11"/>
  <c r="G45" i="11"/>
  <c r="G46" i="11"/>
  <c r="G47" i="11"/>
  <c r="G48" i="11"/>
  <c r="G49" i="11"/>
  <c r="G50" i="11"/>
  <c r="G51" i="11"/>
  <c r="G40" i="11"/>
  <c r="B41" i="11"/>
  <c r="D41" i="11"/>
  <c r="F41" i="11"/>
  <c r="H41" i="11"/>
  <c r="B42" i="11"/>
  <c r="D42" i="11"/>
  <c r="F42" i="11"/>
  <c r="H42" i="11"/>
  <c r="B43" i="11"/>
  <c r="D43" i="11"/>
  <c r="F43" i="11"/>
  <c r="H43" i="11"/>
  <c r="B44" i="11"/>
  <c r="D44" i="11"/>
  <c r="F44" i="11"/>
  <c r="H44" i="11"/>
  <c r="B45" i="11"/>
  <c r="D45" i="11"/>
  <c r="F45" i="11"/>
  <c r="H45" i="11"/>
  <c r="B46" i="11"/>
  <c r="D46" i="11"/>
  <c r="F46" i="11"/>
  <c r="H46" i="11"/>
  <c r="B47" i="11"/>
  <c r="D47" i="11"/>
  <c r="F47" i="11"/>
  <c r="H47" i="11"/>
  <c r="B48" i="11"/>
  <c r="D48" i="11"/>
  <c r="F48" i="11"/>
  <c r="H48" i="11"/>
  <c r="B49" i="11"/>
  <c r="D49" i="11"/>
  <c r="F49" i="11"/>
  <c r="H49" i="11"/>
  <c r="B50" i="11"/>
  <c r="D50" i="11"/>
  <c r="F50" i="11"/>
  <c r="H50" i="11"/>
  <c r="B51" i="11"/>
  <c r="D51" i="11"/>
  <c r="F51" i="11"/>
  <c r="H51" i="11"/>
  <c r="D40" i="11"/>
  <c r="F40" i="11"/>
  <c r="H40" i="11"/>
  <c r="B40" i="11"/>
  <c r="D19" i="9"/>
  <c r="B20" i="9"/>
  <c r="B17" i="14"/>
  <c r="B17" i="15"/>
  <c r="D20" i="9"/>
  <c r="D17" i="14"/>
  <c r="E17" i="15"/>
  <c r="B21" i="9"/>
  <c r="D21" i="9"/>
  <c r="D18" i="14"/>
  <c r="E18" i="15"/>
  <c r="B22" i="9"/>
  <c r="B19" i="14"/>
  <c r="B19" i="15"/>
  <c r="D22" i="9"/>
  <c r="D19" i="14"/>
  <c r="E19" i="15"/>
  <c r="B23" i="9"/>
  <c r="D23" i="9"/>
  <c r="D20" i="14"/>
  <c r="E20" i="15"/>
  <c r="B24" i="9"/>
  <c r="B21" i="14"/>
  <c r="B21" i="15"/>
  <c r="D24" i="9"/>
  <c r="D21" i="14"/>
  <c r="E21" i="15"/>
  <c r="R3" i="1"/>
  <c r="U10" i="1"/>
  <c r="S10" i="1"/>
  <c r="N11" i="11"/>
  <c r="N12" i="11"/>
  <c r="N10" i="11"/>
  <c r="N26" i="11" s="1"/>
  <c r="U9" i="1"/>
  <c r="S9" i="1"/>
  <c r="T9" i="1"/>
  <c r="W9" i="1"/>
  <c r="T10" i="1"/>
  <c r="W10" i="1"/>
  <c r="T11" i="1"/>
  <c r="W11" i="1"/>
  <c r="U11" i="1"/>
  <c r="T12" i="1"/>
  <c r="W12" i="1"/>
  <c r="U12" i="1"/>
  <c r="T13" i="1"/>
  <c r="W13" i="1"/>
  <c r="U13" i="1"/>
  <c r="T14" i="1"/>
  <c r="W14" i="1"/>
  <c r="U14" i="1"/>
  <c r="T15" i="1"/>
  <c r="W15" i="1"/>
  <c r="U15" i="1"/>
  <c r="T16" i="1"/>
  <c r="W16" i="1"/>
  <c r="U16" i="1"/>
  <c r="E18" i="14" s="1"/>
  <c r="F18" i="15" s="1"/>
  <c r="T17" i="1"/>
  <c r="W17" i="1"/>
  <c r="U17" i="1"/>
  <c r="E19" i="14" s="1"/>
  <c r="F19" i="15" s="1"/>
  <c r="T18" i="1"/>
  <c r="W18" i="1"/>
  <c r="U18" i="1"/>
  <c r="E20" i="14" s="1"/>
  <c r="F20" i="15" s="1"/>
  <c r="T19" i="1"/>
  <c r="W19" i="1"/>
  <c r="U19" i="1"/>
  <c r="E21" i="14" s="1"/>
  <c r="F21" i="15" s="1"/>
  <c r="S11" i="1"/>
  <c r="S12" i="1"/>
  <c r="S13" i="1"/>
  <c r="S14" i="1"/>
  <c r="S15" i="1"/>
  <c r="S16" i="1"/>
  <c r="S17" i="1"/>
  <c r="S18" i="1"/>
  <c r="S19" i="1"/>
  <c r="C21" i="14" s="1"/>
  <c r="C21" i="15" s="1"/>
  <c r="S8" i="1"/>
  <c r="M11" i="11"/>
  <c r="M12" i="11"/>
  <c r="M13" i="11"/>
  <c r="M14" i="11"/>
  <c r="M15" i="11"/>
  <c r="M16" i="11"/>
  <c r="M17" i="11"/>
  <c r="M18" i="11"/>
  <c r="M19" i="11"/>
  <c r="M20" i="11"/>
  <c r="M21" i="11"/>
  <c r="M10" i="11"/>
  <c r="J11" i="11"/>
  <c r="J41" i="11"/>
  <c r="J12" i="11"/>
  <c r="J42" i="11"/>
  <c r="J13" i="11"/>
  <c r="J43" i="11"/>
  <c r="J14" i="11"/>
  <c r="J44" i="11"/>
  <c r="J15" i="11"/>
  <c r="J45" i="11"/>
  <c r="J16" i="11"/>
  <c r="J46" i="11"/>
  <c r="J17" i="11"/>
  <c r="J47" i="11"/>
  <c r="J18" i="11"/>
  <c r="J48" i="11"/>
  <c r="J19" i="11"/>
  <c r="J49" i="11"/>
  <c r="J20" i="11"/>
  <c r="J50" i="11"/>
  <c r="J21" i="11"/>
  <c r="J51" i="11"/>
  <c r="J10" i="11"/>
  <c r="J40" i="11"/>
  <c r="T8" i="1"/>
  <c r="W8" i="1"/>
  <c r="R9" i="1"/>
  <c r="V9" i="1"/>
  <c r="R10" i="1"/>
  <c r="V10" i="1"/>
  <c r="R11" i="1"/>
  <c r="V11" i="1"/>
  <c r="R12" i="1"/>
  <c r="V12" i="1"/>
  <c r="R13" i="1"/>
  <c r="V13" i="1"/>
  <c r="R14" i="1"/>
  <c r="V14" i="1"/>
  <c r="R15" i="1"/>
  <c r="V15" i="1"/>
  <c r="R16" i="1"/>
  <c r="V16" i="1"/>
  <c r="R17" i="1"/>
  <c r="V17" i="1"/>
  <c r="R18" i="1"/>
  <c r="V18" i="1"/>
  <c r="R19" i="1"/>
  <c r="V19" i="1"/>
  <c r="R8" i="1"/>
  <c r="V8" i="1"/>
  <c r="J4" i="11"/>
  <c r="J4" i="1"/>
  <c r="N4" i="1"/>
  <c r="P22" i="1"/>
  <c r="N22" i="1"/>
  <c r="B7" i="9"/>
  <c r="B5" i="14"/>
  <c r="B20" i="14"/>
  <c r="B20" i="15"/>
  <c r="O7" i="1"/>
  <c r="O21" i="1" s="1"/>
  <c r="Q7" i="1"/>
  <c r="Q21" i="1" s="1"/>
  <c r="K7" i="1"/>
  <c r="K21" i="1"/>
  <c r="M7" i="1"/>
  <c r="M21" i="1" s="1"/>
  <c r="I7" i="1"/>
  <c r="I21" i="1" s="1"/>
  <c r="E7" i="1"/>
  <c r="E21" i="1"/>
  <c r="C7" i="1"/>
  <c r="C21" i="1" s="1"/>
  <c r="B7" i="1"/>
  <c r="D7" i="1"/>
  <c r="J7" i="1"/>
  <c r="L7" i="1"/>
  <c r="N7" i="1"/>
  <c r="P7" i="1"/>
  <c r="B18" i="14"/>
  <c r="B18" i="15"/>
  <c r="B9" i="5"/>
  <c r="F9" i="5"/>
  <c r="G9" i="5"/>
  <c r="E9" i="5"/>
  <c r="O8" i="11"/>
  <c r="I9" i="11"/>
  <c r="I23" i="11" s="1"/>
  <c r="H9" i="11"/>
  <c r="H8" i="11"/>
  <c r="G9" i="11"/>
  <c r="G23" i="11" s="1"/>
  <c r="F9" i="11"/>
  <c r="F8" i="11"/>
  <c r="D9" i="11"/>
  <c r="D8" i="11"/>
  <c r="C9" i="11"/>
  <c r="C23" i="11" s="1"/>
  <c r="B9" i="11"/>
  <c r="B8" i="11"/>
  <c r="B8" i="8"/>
  <c r="E8" i="8"/>
  <c r="F8" i="8"/>
  <c r="C9" i="6"/>
  <c r="C23" i="6" s="1"/>
  <c r="E9" i="7"/>
  <c r="J3" i="11"/>
  <c r="F6" i="11"/>
  <c r="I24" i="11"/>
  <c r="B6" i="11"/>
  <c r="C24" i="11"/>
  <c r="E8" i="9"/>
  <c r="C8" i="9"/>
  <c r="B5" i="8"/>
  <c r="F25" i="8"/>
  <c r="B5" i="7"/>
  <c r="B28" i="7"/>
  <c r="B29" i="7"/>
  <c r="B30" i="7"/>
  <c r="B31" i="7"/>
  <c r="B32" i="7"/>
  <c r="B26" i="7"/>
  <c r="B27" i="7"/>
  <c r="B5" i="5"/>
  <c r="F26" i="5"/>
  <c r="R2" i="1"/>
  <c r="R22" i="1"/>
  <c r="J6" i="11"/>
  <c r="K26" i="11"/>
  <c r="B6" i="15"/>
  <c r="G7" i="1"/>
  <c r="G21" i="1" s="1"/>
  <c r="F23" i="8"/>
  <c r="G23" i="8"/>
  <c r="E23" i="8"/>
  <c r="K27" i="11"/>
  <c r="L27" i="11" s="1"/>
  <c r="M26" i="11"/>
  <c r="M27" i="11"/>
  <c r="M28" i="11"/>
  <c r="M29" i="11"/>
  <c r="M30" i="11"/>
  <c r="M31" i="11"/>
  <c r="M32" i="11"/>
  <c r="M33" i="11"/>
  <c r="M34" i="11"/>
  <c r="M35" i="11"/>
  <c r="M36" i="11"/>
  <c r="M37" i="11"/>
  <c r="J26" i="11"/>
  <c r="L26" i="11"/>
  <c r="G26" i="1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H26" i="11"/>
  <c r="H27" i="11"/>
  <c r="H28" i="11"/>
  <c r="H29" i="11"/>
  <c r="H30" i="11"/>
  <c r="H24" i="11"/>
  <c r="G24" i="11"/>
  <c r="I26" i="11"/>
  <c r="I27" i="11" s="1"/>
  <c r="I28" i="11" s="1"/>
  <c r="I29" i="11" s="1"/>
  <c r="F26" i="11"/>
  <c r="F27" i="11"/>
  <c r="F28" i="11"/>
  <c r="F29" i="11"/>
  <c r="F30" i="11"/>
  <c r="F31" i="11"/>
  <c r="F32" i="11"/>
  <c r="F33" i="11"/>
  <c r="F34" i="11"/>
  <c r="F35" i="11"/>
  <c r="F36" i="11"/>
  <c r="F37" i="11"/>
  <c r="F24" i="11"/>
  <c r="E26" i="11"/>
  <c r="E27" i="1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B26" i="11"/>
  <c r="B24" i="11"/>
  <c r="E24" i="11"/>
  <c r="M24" i="11"/>
  <c r="E25" i="8"/>
  <c r="E26" i="8"/>
  <c r="E27" i="8"/>
  <c r="E28" i="8"/>
  <c r="E29" i="8"/>
  <c r="E30" i="8"/>
  <c r="E31" i="8"/>
  <c r="E32" i="8"/>
  <c r="E33" i="8"/>
  <c r="E34" i="8"/>
  <c r="E35" i="8"/>
  <c r="E36" i="8"/>
  <c r="B9" i="6"/>
  <c r="E9" i="6"/>
  <c r="E26" i="5"/>
  <c r="E27" i="5"/>
  <c r="E28" i="5"/>
  <c r="E29" i="5"/>
  <c r="E30" i="5"/>
  <c r="E31" i="5"/>
  <c r="E32" i="5"/>
  <c r="E33" i="5"/>
  <c r="B26" i="5"/>
  <c r="B27" i="5"/>
  <c r="B28" i="5"/>
  <c r="B29" i="5"/>
  <c r="B30" i="5"/>
  <c r="B31" i="5"/>
  <c r="B32" i="5"/>
  <c r="B33" i="5"/>
  <c r="F27" i="5"/>
  <c r="F28" i="5"/>
  <c r="G28" i="5" s="1"/>
  <c r="E24" i="5"/>
  <c r="C26" i="5"/>
  <c r="C27" i="5" s="1"/>
  <c r="J9" i="11"/>
  <c r="M9" i="11"/>
  <c r="J24" i="11"/>
  <c r="B24" i="5"/>
  <c r="F24" i="5"/>
  <c r="G24" i="5" s="1"/>
  <c r="B23" i="8"/>
  <c r="B25" i="8"/>
  <c r="B26" i="8"/>
  <c r="B27" i="8"/>
  <c r="C25" i="8"/>
  <c r="C26" i="8" s="1"/>
  <c r="F26" i="8"/>
  <c r="C26" i="1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F26" i="7"/>
  <c r="F27" i="7" s="1"/>
  <c r="B24" i="7"/>
  <c r="D24" i="11"/>
  <c r="D26" i="11"/>
  <c r="H31" i="11"/>
  <c r="I44" i="11"/>
  <c r="D27" i="11"/>
  <c r="E40" i="11"/>
  <c r="B27" i="11"/>
  <c r="C40" i="11"/>
  <c r="J27" i="11"/>
  <c r="B34" i="5"/>
  <c r="B35" i="5"/>
  <c r="B36" i="5"/>
  <c r="B37" i="5"/>
  <c r="D7" i="16"/>
  <c r="E34" i="5"/>
  <c r="E35" i="5"/>
  <c r="E36" i="5"/>
  <c r="E37" i="5"/>
  <c r="G27" i="5"/>
  <c r="G26" i="5"/>
  <c r="H32" i="11"/>
  <c r="I45" i="11"/>
  <c r="B28" i="11"/>
  <c r="C41" i="11"/>
  <c r="D28" i="11"/>
  <c r="E41" i="11"/>
  <c r="J28" i="11"/>
  <c r="D6" i="16"/>
  <c r="G6" i="16"/>
  <c r="D5" i="16"/>
  <c r="G7" i="16"/>
  <c r="H33" i="11"/>
  <c r="I46" i="11"/>
  <c r="D29" i="11"/>
  <c r="E42" i="11"/>
  <c r="B29" i="11"/>
  <c r="C42" i="11"/>
  <c r="J29" i="11"/>
  <c r="H34" i="11"/>
  <c r="I47" i="11"/>
  <c r="D30" i="11"/>
  <c r="E43" i="11"/>
  <c r="B30" i="11"/>
  <c r="C43" i="11"/>
  <c r="J30" i="11"/>
  <c r="H35" i="11"/>
  <c r="I48" i="11"/>
  <c r="B31" i="11"/>
  <c r="C44" i="11"/>
  <c r="D31" i="11"/>
  <c r="E44" i="11"/>
  <c r="J31" i="11"/>
  <c r="H36" i="11"/>
  <c r="I49" i="11"/>
  <c r="D32" i="11"/>
  <c r="E45" i="11"/>
  <c r="B32" i="11"/>
  <c r="C45" i="11"/>
  <c r="J32" i="11"/>
  <c r="H37" i="11"/>
  <c r="I51" i="11"/>
  <c r="I50" i="11"/>
  <c r="B33" i="11"/>
  <c r="C46" i="11"/>
  <c r="D33" i="11"/>
  <c r="E46" i="11"/>
  <c r="J33" i="11"/>
  <c r="S7" i="11"/>
  <c r="D34" i="11"/>
  <c r="E47" i="11"/>
  <c r="B34" i="11"/>
  <c r="C47" i="11"/>
  <c r="J34" i="11"/>
  <c r="B35" i="11"/>
  <c r="C48" i="11"/>
  <c r="D35" i="11"/>
  <c r="E48" i="11"/>
  <c r="J35" i="11"/>
  <c r="D36" i="11"/>
  <c r="E49" i="11"/>
  <c r="B36" i="11"/>
  <c r="C49" i="11"/>
  <c r="J36" i="11"/>
  <c r="B37" i="11"/>
  <c r="C51" i="11"/>
  <c r="C50" i="11"/>
  <c r="D37" i="11"/>
  <c r="E51" i="11"/>
  <c r="E50" i="11"/>
  <c r="J37" i="11"/>
  <c r="F7" i="1"/>
  <c r="R7" i="1"/>
  <c r="V7" i="1"/>
  <c r="H7" i="1"/>
  <c r="T7" i="1"/>
  <c r="S20" i="1"/>
  <c r="X7" i="1"/>
  <c r="C24" i="5"/>
  <c r="D24" i="5" s="1"/>
  <c r="C9" i="5"/>
  <c r="E22" i="1"/>
  <c r="C24" i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22" i="1"/>
  <c r="B22" i="1"/>
  <c r="D24" i="1"/>
  <c r="D25" i="1"/>
  <c r="D26" i="1"/>
  <c r="D27" i="1"/>
  <c r="D28" i="1"/>
  <c r="D29" i="1"/>
  <c r="D30" i="1"/>
  <c r="D31" i="1"/>
  <c r="D32" i="1"/>
  <c r="D33" i="1"/>
  <c r="D34" i="1"/>
  <c r="D35" i="1"/>
  <c r="B24" i="1"/>
  <c r="B25" i="1"/>
  <c r="B26" i="1"/>
  <c r="B27" i="1"/>
  <c r="B28" i="1"/>
  <c r="B29" i="1"/>
  <c r="B30" i="1"/>
  <c r="B31" i="1"/>
  <c r="B32" i="1"/>
  <c r="B33" i="1"/>
  <c r="B34" i="1"/>
  <c r="B35" i="1"/>
  <c r="D22" i="1"/>
  <c r="E24" i="1"/>
  <c r="E25" i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F4" i="1"/>
  <c r="F24" i="1"/>
  <c r="F25" i="1"/>
  <c r="F22" i="1"/>
  <c r="I24" i="1"/>
  <c r="I25" i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22" i="1"/>
  <c r="H22" i="1"/>
  <c r="G22" i="1"/>
  <c r="G24" i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H24" i="1"/>
  <c r="H25" i="1"/>
  <c r="H26" i="1"/>
  <c r="H27" i="1"/>
  <c r="H28" i="1"/>
  <c r="H29" i="1"/>
  <c r="H30" i="1"/>
  <c r="H31" i="1"/>
  <c r="H32" i="1"/>
  <c r="H33" i="1"/>
  <c r="H34" i="1"/>
  <c r="H35" i="1"/>
  <c r="F26" i="1"/>
  <c r="F27" i="1"/>
  <c r="F28" i="1"/>
  <c r="F29" i="1"/>
  <c r="F30" i="1"/>
  <c r="F31" i="1"/>
  <c r="F32" i="1"/>
  <c r="F33" i="1"/>
  <c r="F34" i="1"/>
  <c r="F35" i="1"/>
  <c r="L22" i="1"/>
  <c r="K22" i="1"/>
  <c r="L24" i="1"/>
  <c r="L25" i="1"/>
  <c r="L26" i="1"/>
  <c r="L27" i="1"/>
  <c r="L28" i="1"/>
  <c r="L29" i="1"/>
  <c r="L30" i="1"/>
  <c r="L31" i="1"/>
  <c r="L32" i="1"/>
  <c r="L33" i="1"/>
  <c r="L34" i="1"/>
  <c r="L35" i="1"/>
  <c r="J24" i="1"/>
  <c r="J25" i="1"/>
  <c r="J26" i="1"/>
  <c r="J27" i="1"/>
  <c r="J28" i="1"/>
  <c r="J29" i="1"/>
  <c r="J30" i="1"/>
  <c r="J31" i="1"/>
  <c r="J32" i="1"/>
  <c r="J33" i="1"/>
  <c r="J34" i="1"/>
  <c r="J35" i="1"/>
  <c r="K24" i="1"/>
  <c r="K25" i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J22" i="1"/>
  <c r="M24" i="1"/>
  <c r="M25" i="1"/>
  <c r="M26" i="1"/>
  <c r="M27" i="1" s="1"/>
  <c r="M28" i="1" s="1"/>
  <c r="M29" i="1" s="1"/>
  <c r="M30" i="1" s="1"/>
  <c r="M31" i="1" s="1"/>
  <c r="M32" i="1" s="1"/>
  <c r="M33" i="1" s="1"/>
  <c r="M34" i="1" s="1"/>
  <c r="M35" i="1" s="1"/>
  <c r="M22" i="1"/>
  <c r="R4" i="1"/>
  <c r="O22" i="1"/>
  <c r="N24" i="1"/>
  <c r="Q22" i="1"/>
  <c r="T22" i="1"/>
  <c r="T24" i="1"/>
  <c r="T25" i="1"/>
  <c r="T26" i="1"/>
  <c r="T27" i="1"/>
  <c r="T28" i="1"/>
  <c r="T29" i="1"/>
  <c r="T30" i="1"/>
  <c r="T31" i="1"/>
  <c r="T32" i="1"/>
  <c r="T33" i="1"/>
  <c r="T34" i="1"/>
  <c r="T35" i="1"/>
  <c r="AC5" i="1"/>
  <c r="S24" i="1"/>
  <c r="S25" i="1" s="1"/>
  <c r="S26" i="1" s="1"/>
  <c r="S27" i="1" s="1"/>
  <c r="S28" i="1" s="1"/>
  <c r="R24" i="1"/>
  <c r="R25" i="1"/>
  <c r="R26" i="1"/>
  <c r="R27" i="1"/>
  <c r="R28" i="1"/>
  <c r="R29" i="1"/>
  <c r="R30" i="1"/>
  <c r="R31" i="1"/>
  <c r="R32" i="1"/>
  <c r="R33" i="1"/>
  <c r="R34" i="1"/>
  <c r="R35" i="1"/>
  <c r="AC4" i="1"/>
  <c r="O24" i="1"/>
  <c r="O25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P24" i="1"/>
  <c r="P25" i="1"/>
  <c r="P26" i="1"/>
  <c r="P27" i="1"/>
  <c r="P28" i="1"/>
  <c r="P29" i="1"/>
  <c r="P30" i="1"/>
  <c r="P31" i="1"/>
  <c r="P32" i="1"/>
  <c r="P33" i="1"/>
  <c r="P34" i="1"/>
  <c r="P35" i="1"/>
  <c r="Q24" i="1"/>
  <c r="Q25" i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N25" i="1"/>
  <c r="N26" i="1"/>
  <c r="N27" i="1"/>
  <c r="N28" i="1"/>
  <c r="N29" i="1"/>
  <c r="N30" i="1"/>
  <c r="N31" i="1"/>
  <c r="N32" i="1"/>
  <c r="N33" i="1"/>
  <c r="N34" i="1"/>
  <c r="N35" i="1"/>
  <c r="B6" i="9"/>
  <c r="B5" i="6"/>
  <c r="E26" i="6"/>
  <c r="E27" i="6" s="1"/>
  <c r="C26" i="6"/>
  <c r="C24" i="6"/>
  <c r="D24" i="6" s="1"/>
  <c r="C23" i="8"/>
  <c r="D23" i="8" s="1"/>
  <c r="C8" i="8"/>
  <c r="C24" i="7"/>
  <c r="C9" i="7"/>
  <c r="C23" i="7" s="1"/>
  <c r="D24" i="7"/>
  <c r="B9" i="7"/>
  <c r="B33" i="7"/>
  <c r="B34" i="7"/>
  <c r="B35" i="7"/>
  <c r="B36" i="7"/>
  <c r="B37" i="7"/>
  <c r="E24" i="7"/>
  <c r="C26" i="7"/>
  <c r="E26" i="7"/>
  <c r="B24" i="6"/>
  <c r="B27" i="6"/>
  <c r="B28" i="6"/>
  <c r="B29" i="6"/>
  <c r="B30" i="6"/>
  <c r="B31" i="6"/>
  <c r="B32" i="6"/>
  <c r="B33" i="6"/>
  <c r="B34" i="6"/>
  <c r="B35" i="6"/>
  <c r="B36" i="6"/>
  <c r="B37" i="6"/>
  <c r="F26" i="6"/>
  <c r="F27" i="6" s="1"/>
  <c r="F28" i="6" s="1"/>
  <c r="E28" i="6"/>
  <c r="E29" i="6" s="1"/>
  <c r="E30" i="6" s="1"/>
  <c r="E31" i="6" s="1"/>
  <c r="E32" i="6" s="1"/>
  <c r="E24" i="6"/>
  <c r="B8" i="9"/>
  <c r="C29" i="9"/>
  <c r="C30" i="9" s="1"/>
  <c r="B26" i="6"/>
  <c r="D4" i="16"/>
  <c r="C27" i="6"/>
  <c r="C28" i="6" s="1"/>
  <c r="D27" i="9"/>
  <c r="D16" i="14"/>
  <c r="E16" i="15"/>
  <c r="B4" i="14"/>
  <c r="B6" i="14"/>
  <c r="E8" i="6"/>
  <c r="G26" i="8"/>
  <c r="E11" i="15"/>
  <c r="B11" i="15"/>
  <c r="B28" i="8"/>
  <c r="B29" i="8"/>
  <c r="B30" i="8"/>
  <c r="B31" i="8"/>
  <c r="B32" i="8"/>
  <c r="B33" i="8"/>
  <c r="B34" i="8"/>
  <c r="B35" i="8"/>
  <c r="B36" i="8"/>
  <c r="B12" i="9"/>
  <c r="B44" i="9"/>
  <c r="F27" i="8"/>
  <c r="B12" i="14"/>
  <c r="B9" i="14"/>
  <c r="B10" i="15"/>
  <c r="G25" i="8"/>
  <c r="G5" i="16"/>
  <c r="E27" i="7"/>
  <c r="D26" i="7"/>
  <c r="C27" i="7"/>
  <c r="D29" i="9"/>
  <c r="D30" i="9" s="1"/>
  <c r="B29" i="9"/>
  <c r="B30" i="9"/>
  <c r="B31" i="9"/>
  <c r="B32" i="9"/>
  <c r="B33" i="9"/>
  <c r="B34" i="9"/>
  <c r="B27" i="9"/>
  <c r="B26" i="15"/>
  <c r="B27" i="15" s="1"/>
  <c r="D26" i="6"/>
  <c r="B25" i="14"/>
  <c r="B26" i="14"/>
  <c r="B27" i="14"/>
  <c r="B28" i="14"/>
  <c r="B29" i="14" s="1"/>
  <c r="B30" i="14" s="1"/>
  <c r="B31" i="14" s="1"/>
  <c r="G27" i="8"/>
  <c r="F28" i="8"/>
  <c r="G28" i="8" s="1"/>
  <c r="B23" i="14"/>
  <c r="B12" i="15"/>
  <c r="J7" i="9"/>
  <c r="B35" i="9"/>
  <c r="B36" i="9"/>
  <c r="B37" i="9"/>
  <c r="B38" i="9"/>
  <c r="B39" i="9"/>
  <c r="B40" i="9"/>
  <c r="D8" i="16"/>
  <c r="E28" i="7"/>
  <c r="D27" i="7"/>
  <c r="C28" i="7"/>
  <c r="E29" i="7"/>
  <c r="D28" i="7"/>
  <c r="C29" i="7"/>
  <c r="C30" i="7" s="1"/>
  <c r="E30" i="7"/>
  <c r="E31" i="7"/>
  <c r="E32" i="7"/>
  <c r="E33" i="7"/>
  <c r="E34" i="7"/>
  <c r="E35" i="7"/>
  <c r="E36" i="7"/>
  <c r="E37" i="7"/>
  <c r="F24" i="6"/>
  <c r="G24" i="6" s="1"/>
  <c r="F9" i="6"/>
  <c r="G8" i="6" s="1"/>
  <c r="F24" i="7"/>
  <c r="G24" i="7" s="1"/>
  <c r="F9" i="7"/>
  <c r="F23" i="7" s="1"/>
  <c r="K28" i="11" l="1"/>
  <c r="N27" i="11"/>
  <c r="N28" i="11" s="1"/>
  <c r="O28" i="11" s="1"/>
  <c r="O26" i="11"/>
  <c r="T7" i="11" s="1"/>
  <c r="N9" i="11"/>
  <c r="H23" i="11"/>
  <c r="I30" i="11"/>
  <c r="I31" i="11" s="1"/>
  <c r="I32" i="11" s="1"/>
  <c r="I33" i="11" s="1"/>
  <c r="I34" i="11" s="1"/>
  <c r="I35" i="11" s="1"/>
  <c r="I36" i="11" s="1"/>
  <c r="I37" i="11" s="1"/>
  <c r="I8" i="11"/>
  <c r="U22" i="1"/>
  <c r="C20" i="14"/>
  <c r="C20" i="15" s="1"/>
  <c r="C19" i="14"/>
  <c r="C19" i="15" s="1"/>
  <c r="C18" i="14"/>
  <c r="C18" i="15" s="1"/>
  <c r="C17" i="14"/>
  <c r="C17" i="15" s="1"/>
  <c r="U24" i="1"/>
  <c r="U25" i="1" s="1"/>
  <c r="U26" i="1" s="1"/>
  <c r="U27" i="1" s="1"/>
  <c r="U28" i="1" s="1"/>
  <c r="U29" i="1" s="1"/>
  <c r="U30" i="1" s="1"/>
  <c r="U7" i="1"/>
  <c r="Y7" i="1" s="1"/>
  <c r="E16" i="14"/>
  <c r="F16" i="15" s="1"/>
  <c r="C13" i="14"/>
  <c r="C13" i="15" s="1"/>
  <c r="C11" i="14"/>
  <c r="C11" i="15" s="1"/>
  <c r="E15" i="14"/>
  <c r="F15" i="15" s="1"/>
  <c r="E13" i="14"/>
  <c r="F13" i="15" s="1"/>
  <c r="E11" i="14"/>
  <c r="F11" i="15" s="1"/>
  <c r="S29" i="1"/>
  <c r="S30" i="1" s="1"/>
  <c r="S22" i="1"/>
  <c r="S7" i="1"/>
  <c r="W7" i="1" s="1"/>
  <c r="C12" i="14"/>
  <c r="C12" i="15" s="1"/>
  <c r="C10" i="14"/>
  <c r="C25" i="14" s="1"/>
  <c r="C15" i="14"/>
  <c r="C9" i="14" s="1"/>
  <c r="F7" i="14" s="1"/>
  <c r="C14" i="14"/>
  <c r="C14" i="15" s="1"/>
  <c r="C16" i="14"/>
  <c r="C16" i="15" s="1"/>
  <c r="F28" i="7"/>
  <c r="G27" i="7"/>
  <c r="G8" i="7"/>
  <c r="G26" i="7"/>
  <c r="D30" i="7"/>
  <c r="C31" i="7"/>
  <c r="E8" i="7"/>
  <c r="D29" i="7"/>
  <c r="D28" i="6"/>
  <c r="C29" i="6"/>
  <c r="D27" i="6"/>
  <c r="E10" i="14"/>
  <c r="F10" i="15" s="1"/>
  <c r="F26" i="15" s="1"/>
  <c r="F29" i="8"/>
  <c r="E29" i="9"/>
  <c r="E30" i="9" s="1"/>
  <c r="E31" i="9" s="1"/>
  <c r="E32" i="9" s="1"/>
  <c r="E33" i="9" s="1"/>
  <c r="E34" i="9" s="1"/>
  <c r="E35" i="9" s="1"/>
  <c r="D25" i="8"/>
  <c r="D26" i="8"/>
  <c r="C27" i="8"/>
  <c r="F29" i="5"/>
  <c r="D26" i="5"/>
  <c r="C26" i="14"/>
  <c r="C27" i="14" s="1"/>
  <c r="C28" i="5"/>
  <c r="D27" i="5"/>
  <c r="C12" i="9"/>
  <c r="C44" i="9" s="1"/>
  <c r="K6" i="14"/>
  <c r="B32" i="14"/>
  <c r="B33" i="14" s="1"/>
  <c r="B34" i="14" s="1"/>
  <c r="B35" i="14" s="1"/>
  <c r="B36" i="14" s="1"/>
  <c r="B28" i="15"/>
  <c r="B29" i="15" s="1"/>
  <c r="B30" i="15" s="1"/>
  <c r="B31" i="15" s="1"/>
  <c r="B32" i="15" s="1"/>
  <c r="B33" i="15" s="1"/>
  <c r="B34" i="15" s="1"/>
  <c r="B35" i="15" s="1"/>
  <c r="B36" i="15" s="1"/>
  <c r="B37" i="15" s="1"/>
  <c r="B24" i="15"/>
  <c r="G4" i="16"/>
  <c r="E33" i="6"/>
  <c r="E34" i="6" s="1"/>
  <c r="E35" i="6" s="1"/>
  <c r="E36" i="6" s="1"/>
  <c r="E37" i="6" s="1"/>
  <c r="E14" i="14"/>
  <c r="E27" i="9"/>
  <c r="D31" i="9"/>
  <c r="D32" i="9" s="1"/>
  <c r="D33" i="9" s="1"/>
  <c r="D34" i="9" s="1"/>
  <c r="D35" i="9" s="1"/>
  <c r="D12" i="14"/>
  <c r="D12" i="9"/>
  <c r="D44" i="9" s="1"/>
  <c r="G26" i="6"/>
  <c r="C27" i="9"/>
  <c r="G27" i="6"/>
  <c r="C31" i="9"/>
  <c r="C32" i="9" s="1"/>
  <c r="C33" i="9" s="1"/>
  <c r="C34" i="9" s="1"/>
  <c r="C35" i="9" s="1"/>
  <c r="E14" i="15"/>
  <c r="F23" i="6"/>
  <c r="C30" i="6"/>
  <c r="D29" i="6"/>
  <c r="G28" i="6"/>
  <c r="F29" i="6"/>
  <c r="F17" i="15"/>
  <c r="F15" i="9"/>
  <c r="F16" i="9" s="1"/>
  <c r="F17" i="9" s="1"/>
  <c r="F18" i="9" s="1"/>
  <c r="E12" i="9"/>
  <c r="E44" i="9" s="1"/>
  <c r="E12" i="14"/>
  <c r="E13" i="15"/>
  <c r="D25" i="14"/>
  <c r="D26" i="14" s="1"/>
  <c r="D9" i="14"/>
  <c r="E10" i="15"/>
  <c r="D23" i="14"/>
  <c r="G8" i="11"/>
  <c r="N24" i="11"/>
  <c r="O24" i="11" s="1"/>
  <c r="E8" i="11"/>
  <c r="K9" i="11"/>
  <c r="K24" i="11"/>
  <c r="C8" i="11"/>
  <c r="L28" i="11" l="1"/>
  <c r="K29" i="11"/>
  <c r="O27" i="11"/>
  <c r="N29" i="11"/>
  <c r="N30" i="11" s="1"/>
  <c r="O29" i="11"/>
  <c r="C28" i="14"/>
  <c r="C29" i="14" s="1"/>
  <c r="C30" i="14" s="1"/>
  <c r="C31" i="14" s="1"/>
  <c r="C10" i="15"/>
  <c r="C26" i="15" s="1"/>
  <c r="D26" i="15" s="1"/>
  <c r="C15" i="15"/>
  <c r="C9" i="15" s="1"/>
  <c r="AD5" i="1"/>
  <c r="AE5" i="1" s="1"/>
  <c r="U31" i="1"/>
  <c r="U32" i="1" s="1"/>
  <c r="U33" i="1" s="1"/>
  <c r="U34" i="1" s="1"/>
  <c r="U35" i="1" s="1"/>
  <c r="F27" i="15"/>
  <c r="C23" i="14"/>
  <c r="A3" i="14"/>
  <c r="AD4" i="1"/>
  <c r="AE4" i="1" s="1"/>
  <c r="S31" i="1"/>
  <c r="S32" i="1" s="1"/>
  <c r="S33" i="1" s="1"/>
  <c r="S34" i="1" s="1"/>
  <c r="S35" i="1" s="1"/>
  <c r="E25" i="14"/>
  <c r="E26" i="14" s="1"/>
  <c r="E27" i="14" s="1"/>
  <c r="E28" i="14" s="1"/>
  <c r="E29" i="14" s="1"/>
  <c r="E30" i="14" s="1"/>
  <c r="E31" i="14" s="1"/>
  <c r="G28" i="7"/>
  <c r="F29" i="7"/>
  <c r="D31" i="7"/>
  <c r="C32" i="7"/>
  <c r="E23" i="14"/>
  <c r="G29" i="8"/>
  <c r="F30" i="8"/>
  <c r="C28" i="8"/>
  <c r="D27" i="8"/>
  <c r="G29" i="5"/>
  <c r="F30" i="5"/>
  <c r="C29" i="5"/>
  <c r="D28" i="5"/>
  <c r="J8" i="9"/>
  <c r="G8" i="16"/>
  <c r="D36" i="9"/>
  <c r="D37" i="9" s="1"/>
  <c r="D38" i="9" s="1"/>
  <c r="D39" i="9" s="1"/>
  <c r="D40" i="9" s="1"/>
  <c r="F30" i="6"/>
  <c r="G29" i="6"/>
  <c r="K7" i="9"/>
  <c r="L7" i="9" s="1"/>
  <c r="E8" i="16"/>
  <c r="F8" i="16" s="1"/>
  <c r="C36" i="9"/>
  <c r="C37" i="9" s="1"/>
  <c r="C38" i="9" s="1"/>
  <c r="C39" i="9" s="1"/>
  <c r="C40" i="9" s="1"/>
  <c r="E26" i="15"/>
  <c r="K8" i="9"/>
  <c r="H8" i="16"/>
  <c r="E36" i="9"/>
  <c r="E37" i="9" s="1"/>
  <c r="E38" i="9" s="1"/>
  <c r="E39" i="9" s="1"/>
  <c r="E40" i="9" s="1"/>
  <c r="F12" i="15"/>
  <c r="E9" i="14"/>
  <c r="G7" i="14" s="1"/>
  <c r="E12" i="15"/>
  <c r="E9" i="15" s="1"/>
  <c r="D27" i="14"/>
  <c r="D28" i="14" s="1"/>
  <c r="D29" i="14" s="1"/>
  <c r="D30" i="14" s="1"/>
  <c r="D31" i="14" s="1"/>
  <c r="D30" i="6"/>
  <c r="C31" i="6"/>
  <c r="F14" i="15"/>
  <c r="C27" i="15" l="1"/>
  <c r="D27" i="15" s="1"/>
  <c r="C24" i="15"/>
  <c r="K30" i="11"/>
  <c r="L29" i="11"/>
  <c r="F28" i="15"/>
  <c r="F29" i="15" s="1"/>
  <c r="N31" i="11"/>
  <c r="O30" i="11"/>
  <c r="L6" i="14"/>
  <c r="M6" i="14" s="1"/>
  <c r="C32" i="14"/>
  <c r="C33" i="14" s="1"/>
  <c r="C34" i="14" s="1"/>
  <c r="C35" i="14" s="1"/>
  <c r="G29" i="7"/>
  <c r="F30" i="7"/>
  <c r="F24" i="15"/>
  <c r="D32" i="7"/>
  <c r="L5" i="7" s="1"/>
  <c r="C33" i="7"/>
  <c r="E5" i="16"/>
  <c r="F5" i="16" s="1"/>
  <c r="G30" i="8"/>
  <c r="F31" i="8"/>
  <c r="D28" i="8"/>
  <c r="C29" i="8"/>
  <c r="F31" i="5"/>
  <c r="G30" i="5"/>
  <c r="D29" i="5"/>
  <c r="C30" i="5"/>
  <c r="L7" i="14"/>
  <c r="E32" i="14"/>
  <c r="E33" i="14" s="1"/>
  <c r="E34" i="14" s="1"/>
  <c r="E35" i="14" s="1"/>
  <c r="E27" i="15"/>
  <c r="G27" i="15" s="1"/>
  <c r="G26" i="15"/>
  <c r="F31" i="6"/>
  <c r="G30" i="6"/>
  <c r="E24" i="15"/>
  <c r="K7" i="14"/>
  <c r="D32" i="14"/>
  <c r="D33" i="14" s="1"/>
  <c r="D34" i="14" s="1"/>
  <c r="D35" i="14" s="1"/>
  <c r="D36" i="14" s="1"/>
  <c r="I8" i="16"/>
  <c r="A3" i="15"/>
  <c r="I6" i="15"/>
  <c r="C28" i="15"/>
  <c r="C32" i="6"/>
  <c r="D31" i="6"/>
  <c r="F9" i="15"/>
  <c r="C3" i="15" s="1"/>
  <c r="C36" i="14"/>
  <c r="B37" i="14"/>
  <c r="L8" i="9"/>
  <c r="K31" i="11" l="1"/>
  <c r="L30" i="11"/>
  <c r="O31" i="11"/>
  <c r="N32" i="11"/>
  <c r="G24" i="15"/>
  <c r="F31" i="7"/>
  <c r="G30" i="7"/>
  <c r="C34" i="7"/>
  <c r="D33" i="7"/>
  <c r="H6" i="16"/>
  <c r="I6" i="16" s="1"/>
  <c r="F32" i="8"/>
  <c r="G31" i="8"/>
  <c r="L5" i="8" s="1"/>
  <c r="D29" i="8"/>
  <c r="C30" i="8"/>
  <c r="I7" i="15"/>
  <c r="G31" i="5"/>
  <c r="F32" i="5"/>
  <c r="D30" i="5"/>
  <c r="C31" i="5"/>
  <c r="M7" i="14"/>
  <c r="E28" i="15"/>
  <c r="E29" i="15" s="1"/>
  <c r="E30" i="15" s="1"/>
  <c r="E31" i="15" s="1"/>
  <c r="E32" i="15" s="1"/>
  <c r="E33" i="15" s="1"/>
  <c r="E34" i="15" s="1"/>
  <c r="E35" i="15" s="1"/>
  <c r="E36" i="15" s="1"/>
  <c r="E37" i="15" s="1"/>
  <c r="D32" i="6"/>
  <c r="J5" i="6" s="1"/>
  <c r="E4" i="16"/>
  <c r="F4" i="16" s="1"/>
  <c r="C33" i="6"/>
  <c r="G29" i="15"/>
  <c r="J6" i="15"/>
  <c r="C29" i="15"/>
  <c r="D28" i="15"/>
  <c r="F30" i="15"/>
  <c r="D37" i="14"/>
  <c r="E36" i="14"/>
  <c r="G31" i="6"/>
  <c r="F32" i="6"/>
  <c r="L31" i="11" l="1"/>
  <c r="K32" i="11"/>
  <c r="N33" i="11"/>
  <c r="O32" i="11"/>
  <c r="F32" i="7"/>
  <c r="G31" i="7"/>
  <c r="C35" i="7"/>
  <c r="D34" i="7"/>
  <c r="G32" i="8"/>
  <c r="F33" i="8"/>
  <c r="C31" i="8"/>
  <c r="D30" i="8"/>
  <c r="H7" i="16"/>
  <c r="I7" i="16" s="1"/>
  <c r="G32" i="5"/>
  <c r="L5" i="5" s="1"/>
  <c r="F33" i="5"/>
  <c r="D31" i="5"/>
  <c r="C32" i="5"/>
  <c r="G28" i="15"/>
  <c r="D29" i="15"/>
  <c r="C30" i="15"/>
  <c r="H4" i="16"/>
  <c r="I4" i="16" s="1"/>
  <c r="G32" i="6"/>
  <c r="K5" i="6" s="1"/>
  <c r="F33" i="6"/>
  <c r="F31" i="15"/>
  <c r="G30" i="15"/>
  <c r="C34" i="6"/>
  <c r="D33" i="6"/>
  <c r="L32" i="11" l="1"/>
  <c r="K33" i="11"/>
  <c r="N34" i="11"/>
  <c r="O33" i="11"/>
  <c r="H5" i="16"/>
  <c r="I5" i="16" s="1"/>
  <c r="F33" i="7"/>
  <c r="G32" i="7"/>
  <c r="M5" i="7" s="1"/>
  <c r="C36" i="7"/>
  <c r="D35" i="7"/>
  <c r="F34" i="8"/>
  <c r="G33" i="8"/>
  <c r="C32" i="8"/>
  <c r="E6" i="16"/>
  <c r="F6" i="16" s="1"/>
  <c r="D31" i="8"/>
  <c r="K5" i="8" s="1"/>
  <c r="G33" i="5"/>
  <c r="F34" i="5"/>
  <c r="D32" i="5"/>
  <c r="K5" i="5" s="1"/>
  <c r="E7" i="16"/>
  <c r="F7" i="16" s="1"/>
  <c r="C33" i="5"/>
  <c r="D34" i="6"/>
  <c r="C35" i="6"/>
  <c r="G31" i="15"/>
  <c r="N7" i="15" s="1"/>
  <c r="F32" i="15"/>
  <c r="D30" i="15"/>
  <c r="C31" i="15"/>
  <c r="F34" i="6"/>
  <c r="G33" i="6"/>
  <c r="K34" i="11" l="1"/>
  <c r="L33" i="11"/>
  <c r="N35" i="11"/>
  <c r="O34" i="11"/>
  <c r="G33" i="7"/>
  <c r="F34" i="7"/>
  <c r="C37" i="7"/>
  <c r="D37" i="7" s="1"/>
  <c r="D36" i="7"/>
  <c r="F35" i="8"/>
  <c r="G34" i="8"/>
  <c r="C33" i="8"/>
  <c r="D32" i="8"/>
  <c r="F35" i="5"/>
  <c r="G34" i="5"/>
  <c r="D33" i="5"/>
  <c r="C34" i="5"/>
  <c r="F33" i="15"/>
  <c r="G32" i="15"/>
  <c r="D31" i="15"/>
  <c r="M7" i="15" s="1"/>
  <c r="C32" i="15"/>
  <c r="F35" i="6"/>
  <c r="G34" i="6"/>
  <c r="D35" i="6"/>
  <c r="C36" i="6"/>
  <c r="K35" i="11" l="1"/>
  <c r="L34" i="11"/>
  <c r="N36" i="11"/>
  <c r="O35" i="11"/>
  <c r="F35" i="7"/>
  <c r="G34" i="7"/>
  <c r="F36" i="8"/>
  <c r="G36" i="8" s="1"/>
  <c r="G35" i="8"/>
  <c r="D33" i="8"/>
  <c r="C34" i="8"/>
  <c r="F36" i="5"/>
  <c r="G35" i="5"/>
  <c r="D34" i="5"/>
  <c r="C35" i="5"/>
  <c r="D36" i="6"/>
  <c r="C37" i="6"/>
  <c r="D37" i="6" s="1"/>
  <c r="C33" i="15"/>
  <c r="D32" i="15"/>
  <c r="G35" i="6"/>
  <c r="F36" i="6"/>
  <c r="G33" i="15"/>
  <c r="F34" i="15"/>
  <c r="L35" i="11" l="1"/>
  <c r="K36" i="11"/>
  <c r="O36" i="11"/>
  <c r="N37" i="11"/>
  <c r="O37" i="11" s="1"/>
  <c r="G35" i="7"/>
  <c r="F36" i="7"/>
  <c r="C35" i="8"/>
  <c r="D34" i="8"/>
  <c r="G36" i="5"/>
  <c r="F37" i="5"/>
  <c r="G37" i="5" s="1"/>
  <c r="D35" i="5"/>
  <c r="C36" i="5"/>
  <c r="F35" i="15"/>
  <c r="G34" i="15"/>
  <c r="D33" i="15"/>
  <c r="C34" i="15"/>
  <c r="G36" i="6"/>
  <c r="F37" i="6"/>
  <c r="G37" i="6" s="1"/>
  <c r="L36" i="11" l="1"/>
  <c r="K37" i="11"/>
  <c r="L37" i="11" s="1"/>
  <c r="F37" i="7"/>
  <c r="G37" i="7" s="1"/>
  <c r="G36" i="7"/>
  <c r="D35" i="8"/>
  <c r="C36" i="8"/>
  <c r="D36" i="8" s="1"/>
  <c r="C37" i="5"/>
  <c r="D37" i="5" s="1"/>
  <c r="D36" i="5"/>
  <c r="C35" i="15"/>
  <c r="D34" i="15"/>
  <c r="F36" i="15"/>
  <c r="G35" i="15"/>
  <c r="G36" i="15" l="1"/>
  <c r="F37" i="15"/>
  <c r="G37" i="15" s="1"/>
  <c r="C36" i="15"/>
  <c r="D35" i="15"/>
  <c r="D36" i="15" l="1"/>
  <c r="C37" i="15"/>
  <c r="D37" i="15" s="1"/>
</calcChain>
</file>

<file path=xl/sharedStrings.xml><?xml version="1.0" encoding="utf-8"?>
<sst xmlns="http://schemas.openxmlformats.org/spreadsheetml/2006/main" count="487" uniqueCount="63">
  <si>
    <t>APROPIACIÓN INICIAL</t>
  </si>
  <si>
    <t>Total Sector Función Pública</t>
  </si>
  <si>
    <t>Indicadores de cumplimiento</t>
  </si>
  <si>
    <t xml:space="preserve">Modificaciones presupuestales </t>
  </si>
  <si>
    <t>APROPIACIÓN VIGENTE</t>
  </si>
  <si>
    <t>MES</t>
  </si>
  <si>
    <t xml:space="preserve">Compromiso </t>
  </si>
  <si>
    <t>Obligación</t>
  </si>
  <si>
    <r>
      <t xml:space="preserve">ACUERDO DESEMPEÑO
</t>
    </r>
    <r>
      <rPr>
        <b/>
        <sz val="11"/>
        <rFont val="Calibri"/>
        <family val="2"/>
      </rPr>
      <t>COMPROMISO</t>
    </r>
  </si>
  <si>
    <r>
      <t xml:space="preserve">EJECUCIÓN PRESUPUESTAL
</t>
    </r>
    <r>
      <rPr>
        <b/>
        <sz val="11"/>
        <color theme="5" tint="-0.249977111117893"/>
        <rFont val="Calibri"/>
        <family val="2"/>
      </rPr>
      <t>COMPROMISO</t>
    </r>
  </si>
  <si>
    <r>
      <rPr>
        <i/>
        <sz val="11"/>
        <rFont val="Calibri"/>
        <family val="2"/>
      </rPr>
      <t>ACUERDO DESEMPEÑO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 xml:space="preserve">OBLIGACIÓN </t>
    </r>
  </si>
  <si>
    <r>
      <t xml:space="preserve">EJECUCIÓN PRESUPUESTAL
</t>
    </r>
    <r>
      <rPr>
        <b/>
        <sz val="11"/>
        <color theme="5" tint="-0.249977111117893"/>
        <rFont val="Calibri"/>
        <family val="2"/>
      </rPr>
      <t>OBLIGACIÓN</t>
    </r>
    <r>
      <rPr>
        <sz val="11"/>
        <color theme="5" tint="-0.249977111117893"/>
        <rFont val="Calibri"/>
        <family val="2"/>
      </rPr>
      <t xml:space="preserve"> </t>
    </r>
  </si>
  <si>
    <t>Mayo</t>
  </si>
  <si>
    <t xml:space="preserve">Ejecución $ Presupuestal Acumulada </t>
  </si>
  <si>
    <t xml:space="preserve">Enero </t>
  </si>
  <si>
    <t>Febrero</t>
  </si>
  <si>
    <t>Marzo</t>
  </si>
  <si>
    <t>Abril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</si>
  <si>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</si>
  <si>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</si>
  <si>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</si>
  <si>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</si>
  <si>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</si>
  <si>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</si>
  <si>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</si>
  <si>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% Porcentual Acumulada </t>
  </si>
  <si>
    <t>FUNCIONAMIENTO</t>
  </si>
  <si>
    <t>INVERSIÓN</t>
  </si>
  <si>
    <t>Total ESAP</t>
  </si>
  <si>
    <r>
      <rPr>
        <i/>
        <sz val="11"/>
        <rFont val="Calibri"/>
        <family val="2"/>
      </rPr>
      <t>ACUERDO DESEMPEÑO</t>
    </r>
    <r>
      <rPr>
        <sz val="11"/>
        <rFont val="Calibri"/>
        <family val="2"/>
      </rPr>
      <t xml:space="preserve">
</t>
    </r>
    <r>
      <rPr>
        <b/>
        <sz val="11"/>
        <rFont val="Calibri"/>
        <family val="2"/>
      </rPr>
      <t>COMPROMISO</t>
    </r>
    <r>
      <rPr>
        <sz val="11"/>
        <rFont val="Calibri"/>
        <family val="2"/>
      </rPr>
      <t xml:space="preserve"> </t>
    </r>
  </si>
  <si>
    <r>
      <t xml:space="preserve">EJECUCIÓN PRESUPUESTAL
</t>
    </r>
    <r>
      <rPr>
        <b/>
        <sz val="11"/>
        <rFont val="Calibri"/>
        <family val="2"/>
      </rPr>
      <t>COMPROMISO</t>
    </r>
  </si>
  <si>
    <r>
      <t xml:space="preserve">EJECUCIÓN PRESUPUESTAL
</t>
    </r>
    <r>
      <rPr>
        <b/>
        <sz val="11"/>
        <rFont val="Calibri"/>
        <family val="2"/>
      </rPr>
      <t>OBLIGACIÓN</t>
    </r>
    <r>
      <rPr>
        <sz val="11"/>
        <rFont val="Calibri"/>
        <family val="2"/>
      </rPr>
      <t xml:space="preserve"> </t>
    </r>
  </si>
  <si>
    <t>Total Función Pública</t>
  </si>
  <si>
    <t xml:space="preserve">Nivel </t>
  </si>
  <si>
    <t>Acuerdo Desemepeño</t>
  </si>
  <si>
    <t>Ejecución</t>
  </si>
  <si>
    <t>Diferencia</t>
  </si>
  <si>
    <t>TOTAL INVERSIÓN</t>
  </si>
  <si>
    <r>
      <t xml:space="preserve">ACUERDO DESEMPEÑO
</t>
    </r>
    <r>
      <rPr>
        <b/>
        <sz val="11"/>
        <rFont val="Calibri"/>
        <family val="2"/>
      </rPr>
      <t>COMPROMISO</t>
    </r>
    <r>
      <rPr>
        <sz val="11"/>
        <rFont val="Calibri"/>
        <family val="2"/>
      </rPr>
      <t xml:space="preserve"> </t>
    </r>
  </si>
  <si>
    <r>
      <t xml:space="preserve">EJECUCIÓN PRESUPUESTAL 
</t>
    </r>
    <r>
      <rPr>
        <b/>
        <sz val="11"/>
        <rFont val="Calibri"/>
        <family val="2"/>
      </rPr>
      <t>COMPROMISO</t>
    </r>
  </si>
  <si>
    <r>
      <t xml:space="preserve">ACUERDO DESEMPEÑO
</t>
    </r>
    <r>
      <rPr>
        <b/>
        <sz val="11"/>
        <rFont val="Calibri"/>
        <family val="2"/>
      </rPr>
      <t xml:space="preserve">OBLIGACIÓN </t>
    </r>
  </si>
  <si>
    <r>
      <t xml:space="preserve">EJECUCIÓN PRESUPUESTAL 
</t>
    </r>
    <r>
      <rPr>
        <b/>
        <sz val="11"/>
        <rFont val="Calibri"/>
        <family val="2"/>
      </rPr>
      <t xml:space="preserve">OBLIGACIÓN </t>
    </r>
  </si>
  <si>
    <t>-</t>
  </si>
  <si>
    <t>GASTOS DE PERSONAL</t>
  </si>
  <si>
    <t>ADQUISICIÓN DE BIENES Y SERVICIOS</t>
  </si>
  <si>
    <t xml:space="preserve">TRASFERENCIAS CORRIENTES </t>
  </si>
  <si>
    <t>GASTOS POR TRIBUTOS, MULTAS,SANCIONES E INTERESES DE MORA</t>
  </si>
  <si>
    <t>Total Funcionamiento</t>
  </si>
  <si>
    <t>Proyecto / BPIN</t>
  </si>
  <si>
    <t>DISEÑO DE POLÍTICAS Y LINEAMIENTOS EN TEMAS DE FUNCIÓN PÚBLICA PARA EL MEJORAMIENTO CONTINUO DE LA ADMINISTRACIÓN PÚBLICA. NACIONAL</t>
  </si>
  <si>
    <t>MEJORAMIENTO DE LOS NIVELES DE EFICIENCIA Y PRODUCTIVIDAD DE LAS ENTIDADES PÚBLICAS DEL ORDEN NACIONAL Y TERRITORIAL. NACIONAL</t>
  </si>
  <si>
    <t>MEJORAMIENTO DE LA GESTIÓN DE LAS POLÍTICAS PÚBLICAS A TRAVÉS DE LAS TIC´S NACIONAL</t>
  </si>
  <si>
    <t>MEJORAMIENTO DE LA IMAGEN Y FUNCIONALIDAD DEL EDIFICIO SEDE DEL DEPARTAMENTO ADMINISTRATIVO DE LA FUNCIÓN PÚBLICA  BOGOTÁ</t>
  </si>
  <si>
    <t xml:space="preserve">Proyectos </t>
  </si>
  <si>
    <t>Compromiso</t>
  </si>
  <si>
    <t>Programado</t>
  </si>
  <si>
    <t>Ejecutado</t>
  </si>
  <si>
    <t>Indicador de Cumplimiento</t>
  </si>
  <si>
    <t xml:space="preserve">Asesoría </t>
  </si>
  <si>
    <t>Políticas</t>
  </si>
  <si>
    <t>Tecnología</t>
  </si>
  <si>
    <t xml:space="preserve">Infraestructura 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</si>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</sst>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&quot;$&quot;\ * #,##0_-;\-&quot;$&quot;\ * #,##0_-;_-&quot;$&quot;\ * &quot;-&quot;??_-;_-@_-"/>
    <numFmt numFmtId="167" formatCode="0.0%"/>
    <numFmt numFmtId="168" formatCode="&quot;$&quot;\ 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sz val="11"/>
      <color theme="5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</font>
    <font>
      <b/>
      <sz val="11"/>
      <name val="Arial Narrow"/>
      <family val="2"/>
    </font>
    <font>
      <i/>
      <sz val="11"/>
      <name val="Calibri"/>
      <family val="2"/>
    </font>
    <font>
      <b/>
      <sz val="14"/>
      <color theme="4"/>
      <name val="Calibri"/>
      <family val="2"/>
    </font>
    <font>
      <b/>
      <sz val="28"/>
      <color theme="4"/>
      <name val="Calibri"/>
      <family val="2"/>
    </font>
    <font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2">
    <border>
      <left/>
      <right/>
      <top/>
      <bottom/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4"/>
      </left>
      <right/>
      <top style="hair">
        <color theme="4"/>
      </top>
      <bottom/>
      <diagonal/>
    </border>
    <border>
      <left/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/>
      <bottom/>
      <diagonal/>
    </border>
    <border>
      <left/>
      <right/>
      <top/>
      <bottom style="hair">
        <color theme="4"/>
      </bottom>
      <diagonal/>
    </border>
    <border>
      <left/>
      <right/>
      <top style="hair">
        <color theme="4"/>
      </top>
      <bottom/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8" fillId="4" borderId="1" xfId="0" applyFont="1" applyFill="1" applyBorder="1" applyAlignment="1">
      <alignment horizontal="center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6" fontId="7" fillId="2" borderId="1" xfId="3" applyNumberFormat="1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165" fontId="0" fillId="3" borderId="0" xfId="1" applyNumberFormat="1" applyFont="1" applyFill="1"/>
    <xf numFmtId="0" fontId="0" fillId="0" borderId="1" xfId="0" applyFont="1" applyFill="1" applyBorder="1" applyAlignment="1">
      <alignment vertical="center"/>
    </xf>
    <xf numFmtId="165" fontId="0" fillId="3" borderId="1" xfId="1" applyNumberFormat="1" applyFont="1" applyFill="1" applyBorder="1"/>
    <xf numFmtId="0" fontId="2" fillId="7" borderId="1" xfId="0" applyFont="1" applyFill="1" applyBorder="1" applyAlignment="1">
      <alignment horizontal="center" vertical="center" wrapText="1"/>
    </xf>
    <xf numFmtId="9" fontId="2" fillId="7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9" fontId="1" fillId="0" borderId="1" xfId="2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166" fontId="7" fillId="2" borderId="4" xfId="3" applyNumberFormat="1" applyFont="1" applyFill="1" applyBorder="1" applyAlignment="1">
      <alignment vertical="center" wrapText="1"/>
    </xf>
    <xf numFmtId="164" fontId="3" fillId="5" borderId="4" xfId="1" applyFont="1" applyFill="1" applyBorder="1" applyAlignment="1">
      <alignment vertical="center" wrapText="1"/>
    </xf>
    <xf numFmtId="165" fontId="3" fillId="6" borderId="0" xfId="1" applyNumberFormat="1" applyFont="1" applyFill="1" applyBorder="1" applyAlignment="1">
      <alignment horizontal="center" vertical="center" wrapText="1"/>
    </xf>
    <xf numFmtId="165" fontId="8" fillId="4" borderId="0" xfId="1" applyNumberFormat="1" applyFont="1" applyFill="1" applyBorder="1" applyAlignment="1">
      <alignment vertical="center" wrapText="1"/>
    </xf>
    <xf numFmtId="0" fontId="6" fillId="2" borderId="0" xfId="3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vertical="center"/>
    </xf>
    <xf numFmtId="9" fontId="2" fillId="7" borderId="0" xfId="2" applyFont="1" applyFill="1" applyBorder="1" applyAlignment="1">
      <alignment horizontal="center" vertical="center"/>
    </xf>
    <xf numFmtId="9" fontId="1" fillId="0" borderId="0" xfId="2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 wrapText="1"/>
    </xf>
    <xf numFmtId="165" fontId="3" fillId="5" borderId="4" xfId="1" applyNumberFormat="1" applyFont="1" applyFill="1" applyBorder="1" applyAlignment="1">
      <alignment vertical="center" wrapText="1"/>
    </xf>
    <xf numFmtId="165" fontId="3" fillId="6" borderId="4" xfId="1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/>
    </xf>
    <xf numFmtId="165" fontId="10" fillId="0" borderId="4" xfId="1" applyNumberFormat="1" applyFont="1" applyFill="1" applyBorder="1" applyAlignment="1">
      <alignment vertical="center"/>
    </xf>
    <xf numFmtId="9" fontId="2" fillId="7" borderId="3" xfId="2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9" fontId="2" fillId="7" borderId="4" xfId="2" applyFont="1" applyFill="1" applyBorder="1" applyAlignment="1">
      <alignment horizontal="center" vertical="center"/>
    </xf>
    <xf numFmtId="9" fontId="2" fillId="5" borderId="4" xfId="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9" fontId="1" fillId="0" borderId="4" xfId="2" applyFont="1" applyFill="1" applyBorder="1" applyAlignment="1">
      <alignment horizontal="center" vertical="center"/>
    </xf>
    <xf numFmtId="9" fontId="1" fillId="0" borderId="4" xfId="2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65" fontId="8" fillId="4" borderId="4" xfId="1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10" fontId="2" fillId="3" borderId="4" xfId="2" applyNumberFormat="1" applyFont="1" applyFill="1" applyBorder="1" applyAlignment="1">
      <alignment horizontal="center"/>
    </xf>
    <xf numFmtId="0" fontId="6" fillId="5" borderId="4" xfId="3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vertical="center"/>
    </xf>
    <xf numFmtId="165" fontId="10" fillId="3" borderId="0" xfId="1" applyNumberFormat="1" applyFont="1" applyFill="1" applyBorder="1" applyAlignment="1">
      <alignment vertical="center"/>
    </xf>
    <xf numFmtId="165" fontId="0" fillId="3" borderId="0" xfId="0" applyNumberFormat="1" applyFill="1"/>
    <xf numFmtId="0" fontId="6" fillId="2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6" fillId="3" borderId="0" xfId="3" applyFont="1" applyFill="1" applyBorder="1" applyAlignment="1">
      <alignment vertical="center" wrapText="1"/>
    </xf>
    <xf numFmtId="9" fontId="2" fillId="5" borderId="1" xfId="2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165" fontId="9" fillId="3" borderId="0" xfId="1" applyNumberFormat="1" applyFont="1" applyFill="1" applyBorder="1" applyAlignment="1">
      <alignment vertical="center"/>
    </xf>
    <xf numFmtId="165" fontId="1" fillId="3" borderId="0" xfId="1" applyNumberFormat="1" applyFont="1" applyFill="1" applyBorder="1" applyAlignment="1">
      <alignment vertical="center"/>
    </xf>
    <xf numFmtId="165" fontId="0" fillId="3" borderId="0" xfId="1" applyNumberFormat="1" applyFont="1" applyFill="1" applyBorder="1"/>
    <xf numFmtId="0" fontId="6" fillId="5" borderId="1" xfId="3" applyFont="1" applyFill="1" applyBorder="1" applyAlignment="1">
      <alignment horizontal="center" vertical="center" wrapText="1"/>
    </xf>
    <xf numFmtId="165" fontId="3" fillId="5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vertical="center"/>
    </xf>
    <xf numFmtId="165" fontId="10" fillId="0" borderId="7" xfId="1" applyNumberFormat="1" applyFont="1" applyFill="1" applyBorder="1" applyAlignment="1">
      <alignment vertical="center"/>
    </xf>
    <xf numFmtId="0" fontId="16" fillId="3" borderId="1" xfId="3" applyFont="1" applyFill="1" applyBorder="1" applyAlignment="1">
      <alignment horizontal="center" vertical="center" wrapText="1"/>
    </xf>
    <xf numFmtId="164" fontId="3" fillId="3" borderId="1" xfId="1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 wrapText="1"/>
    </xf>
    <xf numFmtId="165" fontId="18" fillId="0" borderId="1" xfId="1" applyNumberFormat="1" applyFont="1" applyFill="1" applyBorder="1" applyAlignment="1">
      <alignment vertical="center"/>
    </xf>
    <xf numFmtId="9" fontId="1" fillId="0" borderId="1" xfId="2" applyNumberFormat="1" applyFont="1" applyFill="1" applyBorder="1" applyAlignment="1">
      <alignment horizontal="center" vertical="center"/>
    </xf>
    <xf numFmtId="10" fontId="2" fillId="3" borderId="4" xfId="2" applyNumberFormat="1" applyFont="1" applyFill="1" applyBorder="1" applyAlignment="1">
      <alignment horizontal="center" vertical="center"/>
    </xf>
    <xf numFmtId="9" fontId="18" fillId="0" borderId="1" xfId="2" applyFont="1" applyFill="1" applyBorder="1" applyAlignment="1">
      <alignment horizontal="center" vertical="center"/>
    </xf>
    <xf numFmtId="0" fontId="15" fillId="3" borderId="1" xfId="3" applyFont="1" applyFill="1" applyBorder="1" applyAlignment="1">
      <alignment vertical="center" wrapText="1"/>
    </xf>
    <xf numFmtId="9" fontId="10" fillId="0" borderId="1" xfId="2" applyFont="1" applyFill="1" applyBorder="1" applyAlignment="1">
      <alignment horizontal="center" vertical="center"/>
    </xf>
    <xf numFmtId="167" fontId="10" fillId="0" borderId="1" xfId="2" applyNumberFormat="1" applyFont="1" applyFill="1" applyBorder="1" applyAlignment="1">
      <alignment horizontal="center" vertical="center"/>
    </xf>
    <xf numFmtId="10" fontId="10" fillId="0" borderId="1" xfId="2" applyNumberFormat="1" applyFont="1" applyFill="1" applyBorder="1" applyAlignment="1">
      <alignment horizontal="center" vertical="center"/>
    </xf>
    <xf numFmtId="165" fontId="18" fillId="3" borderId="1" xfId="1" applyNumberFormat="1" applyFont="1" applyFill="1" applyBorder="1"/>
    <xf numFmtId="10" fontId="1" fillId="0" borderId="1" xfId="2" applyNumberFormat="1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 wrapText="1"/>
    </xf>
    <xf numFmtId="9" fontId="7" fillId="2" borderId="4" xfId="2" applyFont="1" applyFill="1" applyBorder="1" applyAlignment="1">
      <alignment horizontal="center" vertical="center" wrapText="1"/>
    </xf>
    <xf numFmtId="0" fontId="19" fillId="0" borderId="0" xfId="0" applyFont="1"/>
    <xf numFmtId="0" fontId="21" fillId="8" borderId="4" xfId="0" applyFont="1" applyFill="1" applyBorder="1" applyAlignment="1">
      <alignment horizontal="center" vertical="center" wrapText="1" readingOrder="1"/>
    </xf>
    <xf numFmtId="167" fontId="21" fillId="8" borderId="4" xfId="0" applyNumberFormat="1" applyFont="1" applyFill="1" applyBorder="1" applyAlignment="1">
      <alignment horizontal="center" vertical="center" wrapText="1" readingOrder="1"/>
    </xf>
    <xf numFmtId="10" fontId="22" fillId="3" borderId="4" xfId="2" applyNumberFormat="1" applyFont="1" applyFill="1" applyBorder="1" applyAlignment="1">
      <alignment horizontal="center" vertical="center"/>
    </xf>
    <xf numFmtId="167" fontId="19" fillId="3" borderId="4" xfId="2" applyNumberFormat="1" applyFont="1" applyFill="1" applyBorder="1" applyAlignment="1">
      <alignment horizontal="center"/>
    </xf>
    <xf numFmtId="0" fontId="20" fillId="8" borderId="4" xfId="0" applyFont="1" applyFill="1" applyBorder="1"/>
    <xf numFmtId="167" fontId="19" fillId="8" borderId="4" xfId="2" applyNumberFormat="1" applyFont="1" applyFill="1" applyBorder="1" applyAlignment="1">
      <alignment horizontal="center"/>
    </xf>
    <xf numFmtId="10" fontId="24" fillId="3" borderId="4" xfId="2" applyNumberFormat="1" applyFont="1" applyFill="1" applyBorder="1" applyAlignment="1">
      <alignment horizontal="center" vertical="center"/>
    </xf>
    <xf numFmtId="10" fontId="25" fillId="8" borderId="4" xfId="2" applyNumberFormat="1" applyFont="1" applyFill="1" applyBorder="1" applyAlignment="1">
      <alignment horizontal="center" vertical="center" wrapText="1" readingOrder="1"/>
    </xf>
    <xf numFmtId="0" fontId="25" fillId="8" borderId="4" xfId="0" applyFont="1" applyFill="1" applyBorder="1" applyAlignment="1">
      <alignment horizontal="center" vertical="center" wrapText="1" readingOrder="1"/>
    </xf>
    <xf numFmtId="167" fontId="25" fillId="8" borderId="4" xfId="0" applyNumberFormat="1" applyFont="1" applyFill="1" applyBorder="1" applyAlignment="1">
      <alignment horizontal="center" vertical="center" wrapText="1" readingOrder="1"/>
    </xf>
    <xf numFmtId="0" fontId="19" fillId="3" borderId="4" xfId="0" applyFont="1" applyFill="1" applyBorder="1"/>
    <xf numFmtId="0" fontId="23" fillId="3" borderId="4" xfId="0" applyFont="1" applyFill="1" applyBorder="1"/>
    <xf numFmtId="9" fontId="18" fillId="0" borderId="1" xfId="2" applyNumberFormat="1" applyFont="1" applyFill="1" applyBorder="1" applyAlignment="1">
      <alignment horizontal="center" vertical="center"/>
    </xf>
    <xf numFmtId="42" fontId="0" fillId="3" borderId="0" xfId="4" applyFont="1" applyFill="1"/>
    <xf numFmtId="42" fontId="7" fillId="2" borderId="1" xfId="4" applyFont="1" applyFill="1" applyBorder="1" applyAlignment="1">
      <alignment horizontal="center" vertical="center" wrapText="1"/>
    </xf>
    <xf numFmtId="42" fontId="7" fillId="2" borderId="2" xfId="4" applyFont="1" applyFill="1" applyBorder="1" applyAlignment="1">
      <alignment horizontal="center" vertical="center" wrapText="1"/>
    </xf>
    <xf numFmtId="9" fontId="0" fillId="3" borderId="0" xfId="4" applyNumberFormat="1" applyFont="1" applyFill="1"/>
    <xf numFmtId="42" fontId="6" fillId="3" borderId="0" xfId="4" applyFont="1" applyFill="1" applyBorder="1" applyAlignment="1">
      <alignment vertical="center" wrapText="1"/>
    </xf>
    <xf numFmtId="165" fontId="6" fillId="3" borderId="0" xfId="3" applyNumberFormat="1" applyFont="1" applyFill="1" applyBorder="1" applyAlignment="1">
      <alignment horizontal="center" vertical="center" wrapText="1"/>
    </xf>
    <xf numFmtId="165" fontId="7" fillId="3" borderId="0" xfId="3" applyNumberFormat="1" applyFont="1" applyFill="1" applyBorder="1" applyAlignment="1">
      <alignment horizontal="center" vertical="center" wrapText="1"/>
    </xf>
    <xf numFmtId="42" fontId="6" fillId="0" borderId="0" xfId="0" applyNumberFormat="1" applyFont="1"/>
    <xf numFmtId="42" fontId="7" fillId="0" borderId="0" xfId="0" applyNumberFormat="1" applyFont="1"/>
    <xf numFmtId="9" fontId="0" fillId="3" borderId="0" xfId="2" applyFont="1" applyFill="1"/>
    <xf numFmtId="42" fontId="2" fillId="3" borderId="0" xfId="4" applyFont="1" applyFill="1"/>
    <xf numFmtId="0" fontId="2" fillId="0" borderId="4" xfId="0" applyFont="1" applyFill="1" applyBorder="1" applyAlignment="1">
      <alignment vertical="center"/>
    </xf>
    <xf numFmtId="165" fontId="26" fillId="0" borderId="4" xfId="1" applyNumberFormat="1" applyFont="1" applyFill="1" applyBorder="1" applyAlignment="1">
      <alignment vertical="center"/>
    </xf>
    <xf numFmtId="165" fontId="26" fillId="3" borderId="0" xfId="1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165" fontId="27" fillId="3" borderId="0" xfId="0" applyNumberFormat="1" applyFont="1" applyFill="1"/>
    <xf numFmtId="165" fontId="2" fillId="3" borderId="0" xfId="0" applyNumberFormat="1" applyFont="1" applyFill="1"/>
    <xf numFmtId="42" fontId="6" fillId="3" borderId="0" xfId="4" applyFont="1" applyFill="1" applyBorder="1" applyAlignment="1">
      <alignment horizontal="center" vertical="center" wrapText="1"/>
    </xf>
    <xf numFmtId="42" fontId="7" fillId="3" borderId="0" xfId="4" applyFont="1" applyFill="1" applyBorder="1" applyAlignment="1">
      <alignment vertical="center" wrapText="1"/>
    </xf>
    <xf numFmtId="167" fontId="0" fillId="3" borderId="0" xfId="0" applyNumberFormat="1" applyFill="1"/>
    <xf numFmtId="0" fontId="2" fillId="0" borderId="4" xfId="0" applyFont="1" applyFill="1" applyBorder="1" applyAlignment="1">
      <alignment horizontal="left" vertical="center"/>
    </xf>
    <xf numFmtId="9" fontId="2" fillId="0" borderId="4" xfId="2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left" vertical="center"/>
    </xf>
    <xf numFmtId="9" fontId="1" fillId="9" borderId="1" xfId="2" applyFont="1" applyFill="1" applyBorder="1" applyAlignment="1">
      <alignment horizontal="center" vertical="center"/>
    </xf>
    <xf numFmtId="9" fontId="18" fillId="9" borderId="1" xfId="2" applyFont="1" applyFill="1" applyBorder="1" applyAlignment="1">
      <alignment horizontal="center" vertical="center"/>
    </xf>
    <xf numFmtId="0" fontId="0" fillId="9" borderId="0" xfId="0" applyFill="1"/>
    <xf numFmtId="9" fontId="0" fillId="3" borderId="0" xfId="0" applyNumberFormat="1" applyFill="1"/>
    <xf numFmtId="168" fontId="7" fillId="0" borderId="0" xfId="0" applyNumberFormat="1" applyFont="1"/>
    <xf numFmtId="168" fontId="6" fillId="0" borderId="0" xfId="0" applyNumberFormat="1" applyFont="1"/>
    <xf numFmtId="0" fontId="0" fillId="10" borderId="4" xfId="0" applyFont="1" applyFill="1" applyBorder="1" applyAlignment="1">
      <alignment horizontal="left" vertical="center"/>
    </xf>
    <xf numFmtId="9" fontId="2" fillId="10" borderId="4" xfId="2" applyFont="1" applyFill="1" applyBorder="1" applyAlignment="1">
      <alignment horizontal="center" vertical="center"/>
    </xf>
    <xf numFmtId="166" fontId="0" fillId="3" borderId="0" xfId="0" applyNumberFormat="1" applyFill="1"/>
    <xf numFmtId="165" fontId="3" fillId="11" borderId="1" xfId="1" applyNumberFormat="1" applyFont="1" applyFill="1" applyBorder="1" applyAlignment="1">
      <alignment horizontal="center" vertical="center" wrapText="1"/>
    </xf>
    <xf numFmtId="42" fontId="6" fillId="0" borderId="19" xfId="0" applyNumberFormat="1" applyFont="1" applyBorder="1"/>
    <xf numFmtId="167" fontId="2" fillId="7" borderId="4" xfId="2" applyNumberFormat="1" applyFont="1" applyFill="1" applyBorder="1" applyAlignment="1">
      <alignment horizontal="center" vertical="center"/>
    </xf>
    <xf numFmtId="42" fontId="6" fillId="0" borderId="0" xfId="0" applyNumberFormat="1" applyFont="1" applyBorder="1"/>
    <xf numFmtId="167" fontId="23" fillId="3" borderId="4" xfId="2" applyNumberFormat="1" applyFont="1" applyFill="1" applyBorder="1" applyAlignment="1">
      <alignment horizontal="center"/>
    </xf>
    <xf numFmtId="167" fontId="23" fillId="8" borderId="4" xfId="2" applyNumberFormat="1" applyFont="1" applyFill="1" applyBorder="1" applyAlignment="1">
      <alignment horizontal="center"/>
    </xf>
    <xf numFmtId="167" fontId="26" fillId="0" borderId="1" xfId="2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165" fontId="10" fillId="0" borderId="20" xfId="1" applyNumberFormat="1" applyFont="1" applyFill="1" applyBorder="1" applyAlignment="1">
      <alignment vertical="center"/>
    </xf>
    <xf numFmtId="42" fontId="6" fillId="0" borderId="0" xfId="0" applyNumberFormat="1" applyFont="1" applyFill="1" applyBorder="1"/>
    <xf numFmtId="165" fontId="0" fillId="3" borderId="3" xfId="1" applyNumberFormat="1" applyFont="1" applyFill="1" applyBorder="1"/>
    <xf numFmtId="9" fontId="6" fillId="5" borderId="4" xfId="2" applyFont="1" applyFill="1" applyBorder="1" applyAlignment="1">
      <alignment horizontal="center" vertical="center" wrapText="1"/>
    </xf>
    <xf numFmtId="9" fontId="2" fillId="7" borderId="4" xfId="2" applyNumberFormat="1" applyFont="1" applyFill="1" applyBorder="1" applyAlignment="1">
      <alignment horizontal="center" vertical="center"/>
    </xf>
    <xf numFmtId="42" fontId="6" fillId="3" borderId="0" xfId="0" applyNumberFormat="1" applyFont="1" applyFill="1"/>
    <xf numFmtId="165" fontId="18" fillId="3" borderId="0" xfId="1" applyNumberFormat="1" applyFont="1" applyFill="1" applyBorder="1" applyAlignment="1">
      <alignment vertical="center"/>
    </xf>
    <xf numFmtId="168" fontId="7" fillId="3" borderId="18" xfId="0" applyNumberFormat="1" applyFont="1" applyFill="1" applyBorder="1"/>
    <xf numFmtId="42" fontId="7" fillId="3" borderId="18" xfId="0" applyNumberFormat="1" applyFont="1" applyFill="1" applyBorder="1"/>
    <xf numFmtId="42" fontId="2" fillId="0" borderId="0" xfId="0" applyNumberFormat="1" applyFont="1"/>
    <xf numFmtId="42" fontId="0" fillId="9" borderId="0" xfId="4" applyFont="1" applyFill="1"/>
    <xf numFmtId="0" fontId="2" fillId="0" borderId="1" xfId="0" applyFont="1" applyFill="1" applyBorder="1" applyAlignment="1">
      <alignment vertical="center"/>
    </xf>
    <xf numFmtId="9" fontId="2" fillId="3" borderId="0" xfId="2" applyFont="1" applyFill="1"/>
    <xf numFmtId="0" fontId="2" fillId="3" borderId="0" xfId="0" applyFont="1" applyFill="1"/>
    <xf numFmtId="165" fontId="0" fillId="3" borderId="21" xfId="0" applyNumberFormat="1" applyFill="1" applyBorder="1"/>
    <xf numFmtId="165" fontId="2" fillId="3" borderId="21" xfId="0" applyNumberFormat="1" applyFont="1" applyFill="1" applyBorder="1"/>
    <xf numFmtId="9" fontId="0" fillId="3" borderId="21" xfId="2" applyFont="1" applyFill="1" applyBorder="1"/>
    <xf numFmtId="9" fontId="1" fillId="3" borderId="0" xfId="2" applyFont="1" applyFill="1" applyBorder="1" applyAlignment="1">
      <alignment vertical="center"/>
    </xf>
    <xf numFmtId="0" fontId="0" fillId="9" borderId="4" xfId="0" applyFont="1" applyFill="1" applyBorder="1" applyAlignment="1">
      <alignment horizontal="left" vertical="center"/>
    </xf>
    <xf numFmtId="9" fontId="1" fillId="9" borderId="4" xfId="2" applyFont="1" applyFill="1" applyBorder="1" applyAlignment="1">
      <alignment horizontal="center" vertical="center"/>
    </xf>
    <xf numFmtId="10" fontId="7" fillId="2" borderId="4" xfId="2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vertical="center"/>
    </xf>
    <xf numFmtId="165" fontId="1" fillId="0" borderId="7" xfId="1" applyNumberFormat="1" applyFont="1" applyFill="1" applyBorder="1" applyAlignment="1">
      <alignment vertical="center"/>
    </xf>
    <xf numFmtId="9" fontId="1" fillId="9" borderId="0" xfId="2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 wrapText="1"/>
    </xf>
    <xf numFmtId="1" fontId="11" fillId="0" borderId="0" xfId="3" applyNumberFormat="1" applyFont="1" applyFill="1" applyBorder="1" applyAlignment="1">
      <alignment horizontal="center" vertical="center" wrapText="1"/>
    </xf>
    <xf numFmtId="1" fontId="11" fillId="0" borderId="4" xfId="3" applyNumberFormat="1" applyFont="1" applyFill="1" applyBorder="1" applyAlignment="1">
      <alignment horizontal="center" vertical="center" wrapText="1"/>
    </xf>
    <xf numFmtId="1" fontId="11" fillId="0" borderId="0" xfId="3" applyNumberFormat="1" applyFont="1" applyFill="1" applyBorder="1" applyAlignment="1">
      <alignment horizontal="center" vertical="center" wrapText="1"/>
    </xf>
    <xf numFmtId="1" fontId="15" fillId="0" borderId="0" xfId="3" applyNumberFormat="1" applyFont="1" applyFill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vertical="center"/>
    </xf>
    <xf numFmtId="165" fontId="10" fillId="9" borderId="1" xfId="1" applyNumberFormat="1" applyFont="1" applyFill="1" applyBorder="1" applyAlignment="1">
      <alignment vertical="center"/>
    </xf>
    <xf numFmtId="165" fontId="18" fillId="9" borderId="1" xfId="1" applyNumberFormat="1" applyFont="1" applyFill="1" applyBorder="1" applyAlignment="1">
      <alignment vertical="center"/>
    </xf>
    <xf numFmtId="165" fontId="1" fillId="9" borderId="1" xfId="1" applyNumberFormat="1" applyFont="1" applyFill="1" applyBorder="1" applyAlignment="1">
      <alignment vertical="center"/>
    </xf>
    <xf numFmtId="165" fontId="0" fillId="9" borderId="1" xfId="1" applyNumberFormat="1" applyFont="1" applyFill="1" applyBorder="1"/>
    <xf numFmtId="9" fontId="10" fillId="9" borderId="1" xfId="2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 wrapText="1"/>
    </xf>
    <xf numFmtId="0" fontId="15" fillId="3" borderId="10" xfId="3" applyFont="1" applyFill="1" applyBorder="1" applyAlignment="1">
      <alignment horizontal="center" vertical="center" wrapText="1"/>
    </xf>
    <xf numFmtId="0" fontId="15" fillId="3" borderId="6" xfId="3" applyFont="1" applyFill="1" applyBorder="1" applyAlignment="1">
      <alignment horizontal="center" vertical="center" wrapText="1"/>
    </xf>
    <xf numFmtId="0" fontId="15" fillId="3" borderId="8" xfId="3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center" vertical="center" wrapText="1"/>
    </xf>
    <xf numFmtId="0" fontId="15" fillId="3" borderId="16" xfId="3" applyFont="1" applyFill="1" applyBorder="1" applyAlignment="1">
      <alignment horizontal="center" vertical="center" wrapText="1"/>
    </xf>
    <xf numFmtId="0" fontId="15" fillId="3" borderId="11" xfId="3" applyFont="1" applyFill="1" applyBorder="1" applyAlignment="1">
      <alignment horizontal="center" vertical="center" wrapText="1"/>
    </xf>
    <xf numFmtId="0" fontId="15" fillId="3" borderId="9" xfId="3" applyFont="1" applyFill="1" applyBorder="1" applyAlignment="1">
      <alignment horizontal="center" vertical="center" wrapText="1"/>
    </xf>
    <xf numFmtId="0" fontId="15" fillId="3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4" fillId="3" borderId="10" xfId="3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center" vertical="center" wrapText="1"/>
    </xf>
    <xf numFmtId="0" fontId="14" fillId="3" borderId="8" xfId="3" applyFont="1" applyFill="1" applyBorder="1" applyAlignment="1">
      <alignment horizontal="center" vertical="center" wrapText="1"/>
    </xf>
    <xf numFmtId="0" fontId="14" fillId="3" borderId="0" xfId="3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center" vertical="center" wrapText="1"/>
    </xf>
    <xf numFmtId="0" fontId="14" fillId="3" borderId="11" xfId="3" applyFont="1" applyFill="1" applyBorder="1" applyAlignment="1">
      <alignment horizontal="center" vertical="center" wrapText="1"/>
    </xf>
    <xf numFmtId="0" fontId="14" fillId="3" borderId="9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15" fillId="3" borderId="1" xfId="3" applyFont="1" applyFill="1" applyBorder="1" applyAlignment="1">
      <alignment horizontal="center" vertical="center" wrapText="1"/>
    </xf>
    <xf numFmtId="1" fontId="15" fillId="0" borderId="4" xfId="3" applyNumberFormat="1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wrapText="1"/>
    </xf>
    <xf numFmtId="1" fontId="11" fillId="0" borderId="0" xfId="3" applyNumberFormat="1" applyFont="1" applyFill="1" applyBorder="1" applyAlignment="1">
      <alignment horizontal="center" vertical="center" wrapText="1"/>
    </xf>
    <xf numFmtId="1" fontId="11" fillId="0" borderId="4" xfId="3" applyNumberFormat="1" applyFont="1" applyFill="1" applyBorder="1" applyAlignment="1">
      <alignment horizontal="center" vertical="center" wrapText="1"/>
    </xf>
    <xf numFmtId="165" fontId="8" fillId="4" borderId="13" xfId="1" applyNumberFormat="1" applyFont="1" applyFill="1" applyBorder="1" applyAlignment="1">
      <alignment horizontal="center" vertical="center" wrapText="1"/>
    </xf>
    <xf numFmtId="165" fontId="8" fillId="4" borderId="14" xfId="1" applyNumberFormat="1" applyFont="1" applyFill="1" applyBorder="1" applyAlignment="1">
      <alignment horizontal="center" vertical="center" wrapText="1"/>
    </xf>
    <xf numFmtId="165" fontId="8" fillId="4" borderId="15" xfId="1" applyNumberFormat="1" applyFont="1" applyFill="1" applyBorder="1" applyAlignment="1">
      <alignment horizontal="center" vertical="center" wrapText="1"/>
    </xf>
    <xf numFmtId="0" fontId="20" fillId="8" borderId="17" xfId="0" applyFont="1" applyFill="1" applyBorder="1" applyAlignment="1">
      <alignment horizontal="center" vertical="center"/>
    </xf>
    <xf numFmtId="10" fontId="20" fillId="8" borderId="13" xfId="2" applyNumberFormat="1" applyFont="1" applyFill="1" applyBorder="1" applyAlignment="1">
      <alignment horizontal="center"/>
    </xf>
    <xf numFmtId="10" fontId="20" fillId="8" borderId="14" xfId="2" applyNumberFormat="1" applyFont="1" applyFill="1" applyBorder="1" applyAlignment="1">
      <alignment horizontal="center"/>
    </xf>
    <xf numFmtId="10" fontId="20" fillId="8" borderId="15" xfId="2" applyNumberFormat="1" applyFont="1" applyFill="1" applyBorder="1" applyAlignment="1">
      <alignment horizontal="center"/>
    </xf>
    <xf numFmtId="10" fontId="20" fillId="8" borderId="4" xfId="2" applyNumberFormat="1" applyFont="1" applyFill="1" applyBorder="1" applyAlignment="1">
      <alignment horizontal="center"/>
    </xf>
  </cellXfs>
  <cellStyles count="28">
    <cellStyle name="Millares [0] 2" xfId="13" xr:uid="{6934ED6E-85C0-47EA-9097-80FECF70CEC4}"/>
    <cellStyle name="Millares [0] 3" xfId="12" xr:uid="{D690C835-8370-4A44-A6F5-507BCD9E9091}"/>
    <cellStyle name="Millares 10" xfId="24" xr:uid="{5A3EFF34-7329-4C9E-9C39-DCE98FAF4E6E}"/>
    <cellStyle name="Millares 11" xfId="25" xr:uid="{2B4BA0A8-A259-4328-AF91-E17C9E0668D5}"/>
    <cellStyle name="Millares 12" xfId="26" xr:uid="{8E1CC2CA-2B91-44C9-821F-1B769693E7DC}"/>
    <cellStyle name="Millares 13" xfId="27" xr:uid="{8F4359F4-E2EB-42A3-A5D9-8E26616F224A}"/>
    <cellStyle name="Millares 2" xfId="15" xr:uid="{F0C5AADB-9A57-4EC6-8176-B494928263EB}"/>
    <cellStyle name="Millares 3" xfId="19" xr:uid="{F81BABC4-0C86-452F-94AD-41CC81D5744D}"/>
    <cellStyle name="Millares 4" xfId="10" xr:uid="{DA1D66D3-2AB3-48FF-BB3B-076F83938CF8}"/>
    <cellStyle name="Millares 5" xfId="11" xr:uid="{EA870EBB-44BC-4FBC-AFCD-25E407C1C454}"/>
    <cellStyle name="Millares 6" xfId="20" xr:uid="{C527B029-184B-41A7-8484-5CBD04143B93}"/>
    <cellStyle name="Millares 7" xfId="21" xr:uid="{E1BD889B-9D43-4E65-AA62-A9E703B2253E}"/>
    <cellStyle name="Millares 8" xfId="22" xr:uid="{49650F32-7C25-4E9D-97D4-5C1082688580}"/>
    <cellStyle name="Millares 9" xfId="23" xr:uid="{B9C17A88-2572-463B-9D9F-0E8EEF0BAE91}"/>
    <cellStyle name="Moneda" xfId="1" builtinId="4"/>
    <cellStyle name="Moneda [0]" xfId="4" builtinId="7"/>
    <cellStyle name="Moneda [0] 2" xfId="6" xr:uid="{D25BC309-9AE1-4E75-A96D-0E640833837C}"/>
    <cellStyle name="Moneda [0] 3" xfId="7" xr:uid="{71D60B75-D72F-4733-B28D-3284C1FB7390}"/>
    <cellStyle name="Moneda 2" xfId="5" xr:uid="{5EF42EEA-061F-47CF-BDE9-A7AFAEB67CE3}"/>
    <cellStyle name="Moneda 3" xfId="9" xr:uid="{88AD3BD9-77A8-42FA-A358-C2B2B8656847}"/>
    <cellStyle name="Normal" xfId="0" builtinId="0"/>
    <cellStyle name="Normal 2" xfId="3" xr:uid="{B9BEF923-46D9-464B-AA69-DDC30FB78467}"/>
    <cellStyle name="Normal 3" xfId="14" xr:uid="{6FDF0059-6B44-4709-984F-556C7D112901}"/>
    <cellStyle name="Normal 4" xfId="17" xr:uid="{6315FEA7-7924-4D21-9F2D-EE0CCEB21734}"/>
    <cellStyle name="Porcentaje" xfId="2" builtinId="5"/>
    <cellStyle name="Porcentaje 2" xfId="8" xr:uid="{AC7FB67B-BB22-448D-871B-C977B383A25F}"/>
    <cellStyle name="Porcentaje 2 2" xfId="16" xr:uid="{F5D0B0E7-5246-42AA-BD7F-9DAE70F94DD6}"/>
    <cellStyle name="Porcentaje 3" xfId="18" xr:uid="{DB15E3CE-1EE0-47D1-8DCC-837124126316}"/>
  </cellStyles>
  <dxfs count="54"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6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6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  <dxf>
      <fill>
        <gradientFill degree="90"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rgb="FFFFC000"/>
          </stop>
          <stop position="0.5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9"/>
          </stop>
          <stop position="0.5">
            <color theme="0"/>
          </stop>
          <stop position="1">
            <color theme="9"/>
          </stop>
        </gradientFill>
      </fill>
    </dxf>
  </dxfs>
  <tableStyles count="0" defaultTableStyle="TableStyleMedium2" defaultPivotStyle="PivotStyleLight16"/>
  <colors>
    <mruColors>
      <color rgb="FFE478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7124872453260737E-2"/>
          <c:y val="0.14837892658001878"/>
          <c:w val="0.92426370964287818"/>
          <c:h val="0.5803244418373768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'TOTAL Sector'!$B$25</c:f>
              <c:strCache>
                <c:ptCount val="1"/>
                <c:pt idx="0">
                  <c:v>ACUERDO DESEMPEÑO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Sector'!$A$26:$A$37</c15:sqref>
                  </c15:fullRef>
                </c:ext>
              </c:extLst>
              <c:f>'TOTAL Sector'!$A$29:$A$31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Sector'!$B$26:$B$37</c15:sqref>
                  </c15:fullRef>
                </c:ext>
              </c:extLst>
              <c:f>'TOTAL Sector'!$B$29:$B$31</c:f>
              <c:numCache>
                <c:formatCode>0.0%</c:formatCode>
                <c:ptCount val="3"/>
                <c:pt idx="0">
                  <c:v>0.3889564259801655</c:v>
                </c:pt>
                <c:pt idx="1">
                  <c:v>0.43115487877137576</c:v>
                </c:pt>
                <c:pt idx="2">
                  <c:v>0.48754964251762073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E-4D93-822B-2F32735DA887}"/>
            </c:ext>
          </c:extLst>
        </c:ser>
        <c:ser>
          <c:idx val="0"/>
          <c:order val="1"/>
          <c:tx>
            <c:strRef>
              <c:f>'TOTAL Sector'!$C$25</c:f>
              <c:strCache>
                <c:ptCount val="1"/>
                <c:pt idx="0">
                  <c:v>EJECUCIÓN PRESUPUESTAL
COMPROMISO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Sector'!$A$26:$A$37</c15:sqref>
                  </c15:fullRef>
                </c:ext>
              </c:extLst>
              <c:f>'TOTAL Sector'!$A$29:$A$31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Sector'!$C$26:$C$37</c15:sqref>
                  </c15:fullRef>
                </c:ext>
              </c:extLst>
              <c:f>'TOTAL Sector'!$C$29:$C$31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E-4D93-822B-2F32735DA8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840272844111134E-3"/>
          <c:y val="0.24914272291610914"/>
          <c:w val="0.96657378949622608"/>
          <c:h val="0.6091797821850234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'TOTAL Función Pública'!$D$24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Función Pública'!$A$25:$A$36</c15:sqref>
                  </c15:fullRef>
                </c:ext>
              </c:extLst>
              <c:f>'TOTAL Función Pública'!$A$29:$A$31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Función Pública'!$D$25:$D$36</c15:sqref>
                  </c15:fullRef>
                </c:ext>
              </c:extLst>
              <c:f>'TOTAL Función Pública'!$D$29:$D$31</c:f>
              <c:numCache>
                <c:formatCode>0%</c:formatCode>
                <c:ptCount val="3"/>
                <c:pt idx="0">
                  <c:v>0.28635722084128135</c:v>
                </c:pt>
                <c:pt idx="1">
                  <c:v>0.36028509629928485</c:v>
                </c:pt>
                <c:pt idx="2">
                  <c:v>0.45231323601941054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A-4CB7-9922-495E903D1BF7}"/>
            </c:ext>
          </c:extLst>
        </c:ser>
        <c:ser>
          <c:idx val="3"/>
          <c:order val="1"/>
          <c:tx>
            <c:strRef>
              <c:f>'TOTAL Función Pública'!$E$24</c:f>
              <c:strCache>
                <c:ptCount val="1"/>
                <c:pt idx="0">
                  <c:v>EJECUCIÓN PRESUPUESTAL
OBLIGACIÓN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Función Pública'!$A$25:$A$36</c15:sqref>
                  </c15:fullRef>
                </c:ext>
              </c:extLst>
              <c:f>'TOTAL Función Pública'!$A$29:$A$31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Función Pública'!$E$25:$E$36</c15:sqref>
                  </c15:fullRef>
                </c:ext>
              </c:extLst>
              <c:f>'TOTAL Función Pública'!$E$29:$E$31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A-4CB7-9922-495E903D1B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'Funcionamiento FP'!$R$23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'Funcionamiento FP'!$A$24:$A$35</c15:sqref>
                  </c15:fullRef>
                </c:ext>
              </c:extLst>
              <c:f>'Funcionamiento FP'!$A$28:$A$30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'Funcionamiento FP'!$R$24:$R$35</c15:sqref>
                  </c15:fullRef>
                </c:ext>
              </c:extLst>
              <c:f>'Funcionamiento FP'!$R$28:$R$30</c:f>
              <c:numCache>
                <c:formatCode>0%</c:formatCode>
                <c:ptCount val="3"/>
                <c:pt idx="0">
                  <c:v>0.37155191469189397</c:v>
                </c:pt>
                <c:pt idx="1">
                  <c:v>0.4535756773048083</c:v>
                </c:pt>
                <c:pt idx="2">
                  <c:v>0.55093982591505741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23-45E0-B505-DDC81A19ED97}"/>
            </c:ext>
          </c:extLst>
        </c:ser>
        <c:ser>
          <c:idx val="0"/>
          <c:order val="1"/>
          <c:tx>
            <c:strRef>
              <c:f>'Funcionamiento FP'!$S$23</c:f>
              <c:strCache>
                <c:ptCount val="1"/>
                <c:pt idx="0">
                  <c:v>EJECUCIÓN PRESUPUESTAL
COMPROMISO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'Funcionamiento FP'!$A$24:$A$35</c15:sqref>
                  </c15:fullRef>
                </c:ext>
              </c:extLst>
              <c:f>'Funcionamiento FP'!$A$28:$A$30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'Funcionamiento FP'!$S$24:$S$35</c15:sqref>
                  </c15:fullRef>
                </c:ext>
              </c:extLst>
              <c:f>'Funcionamiento FP'!$S$28:$S$30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23-45E0-B505-DDC81A19ED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'Funcionamiento FP'!$T$23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'Funcionamiento FP'!$A$24:$A$35</c15:sqref>
                  </c15:fullRef>
                </c:ext>
              </c:extLst>
              <c:f>'Funcionamiento FP'!$A$28:$A$30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'Funcionamiento FP'!$T$24:$T$35</c15:sqref>
                  </c15:fullRef>
                </c:ext>
              </c:extLst>
              <c:f>'Funcionamiento FP'!$T$28:$T$30</c:f>
              <c:numCache>
                <c:formatCode>0%</c:formatCode>
                <c:ptCount val="3"/>
                <c:pt idx="0">
                  <c:v>0.34198972065487732</c:v>
                </c:pt>
                <c:pt idx="1">
                  <c:v>0.42599397818091361</c:v>
                </c:pt>
                <c:pt idx="2">
                  <c:v>0.52723682174598585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75-40BE-814C-B24991149D8F}"/>
            </c:ext>
          </c:extLst>
        </c:ser>
        <c:ser>
          <c:idx val="3"/>
          <c:order val="1"/>
          <c:tx>
            <c:strRef>
              <c:f>'Funcionamiento FP'!$U$23</c:f>
              <c:strCache>
                <c:ptCount val="1"/>
                <c:pt idx="0">
                  <c:v>EJECUCIÓN PRESUPUESTAL
OBLIGACIÓN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'Funcionamiento FP'!$A$24:$A$35</c15:sqref>
                  </c15:fullRef>
                </c:ext>
              </c:extLst>
              <c:f>'Funcionamiento FP'!$A$28:$A$30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'Funcionamiento FP'!$U$24:$U$35</c15:sqref>
                  </c15:fullRef>
                </c:ext>
              </c:extLst>
              <c:f>'Funcionamiento FP'!$U$28:$U$30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75-40BE-814C-B24991149D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Inversión Función Pública'!$B$28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Inversión Función Pública'!$A$29:$A$40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'Total Inversión Función Pública'!$B$29:$B$40</c:f>
              <c:numCache>
                <c:formatCode>0%</c:formatCode>
                <c:ptCount val="12"/>
                <c:pt idx="0">
                  <c:v>0.563097313433083</c:v>
                </c:pt>
                <c:pt idx="1">
                  <c:v>0.66375294896404602</c:v>
                </c:pt>
                <c:pt idx="2">
                  <c:v>0.67275823637907206</c:v>
                </c:pt>
                <c:pt idx="3">
                  <c:v>0.71385792723133834</c:v>
                </c:pt>
                <c:pt idx="4">
                  <c:v>0.72519657599943621</c:v>
                </c:pt>
                <c:pt idx="5">
                  <c:v>0.87097029250650593</c:v>
                </c:pt>
                <c:pt idx="6">
                  <c:v>0.91158401490122853</c:v>
                </c:pt>
                <c:pt idx="7">
                  <c:v>0.94462150640680742</c:v>
                </c:pt>
                <c:pt idx="8">
                  <c:v>0.94913678367381538</c:v>
                </c:pt>
                <c:pt idx="9">
                  <c:v>0.97314521372647667</c:v>
                </c:pt>
                <c:pt idx="10">
                  <c:v>0.98271405887834695</c:v>
                </c:pt>
                <c:pt idx="11">
                  <c:v>0.99340978795499679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28F-9950-6C6EAD623BF0}"/>
            </c:ext>
          </c:extLst>
        </c:ser>
        <c:ser>
          <c:idx val="1"/>
          <c:order val="1"/>
          <c:tx>
            <c:strRef>
              <c:f>'Total Inversión Función Pública'!$C$28</c:f>
              <c:strCache>
                <c:ptCount val="1"/>
                <c:pt idx="0">
                  <c:v>EJECUCIÓN PRESUPUESTAL 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Inversión Función Pública'!$A$29:$A$40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'Total Inversión Función Pública'!$C$29:$C$40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D-428F-9950-6C6EAD623B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683234240"/>
        <c:axId val="683233824"/>
      </c:barChart>
      <c:catAx>
        <c:axId val="6832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683233824"/>
        <c:crosses val="autoZero"/>
        <c:auto val="1"/>
        <c:lblAlgn val="ctr"/>
        <c:lblOffset val="100"/>
        <c:noMultiLvlLbl val="0"/>
      </c:catAx>
      <c:valAx>
        <c:axId val="6832338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832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'Total Inversión Función Pública'!$D$28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Inversión Función Pública'!$A$29:$A$40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'Total Inversión Función Pública'!$D$29:$D$40</c:f>
              <c:numCache>
                <c:formatCode>0%</c:formatCode>
                <c:ptCount val="12"/>
                <c:pt idx="0">
                  <c:v>1.3806350062361202E-4</c:v>
                </c:pt>
                <c:pt idx="1">
                  <c:v>2.2138570992589156E-2</c:v>
                </c:pt>
                <c:pt idx="2">
                  <c:v>7.8965641398193911E-2</c:v>
                </c:pt>
                <c:pt idx="3">
                  <c:v>0.15437852864208873</c:v>
                </c:pt>
                <c:pt idx="4">
                  <c:v>0.21114490393109714</c:v>
                </c:pt>
                <c:pt idx="5">
                  <c:v>0.27145002211685304</c:v>
                </c:pt>
                <c:pt idx="6">
                  <c:v>0.35102034980009744</c:v>
                </c:pt>
                <c:pt idx="7">
                  <c:v>0.4586860044172496</c:v>
                </c:pt>
                <c:pt idx="8">
                  <c:v>0.53463691329771501</c:v>
                </c:pt>
                <c:pt idx="9">
                  <c:v>0.65568386512324373</c:v>
                </c:pt>
                <c:pt idx="10">
                  <c:v>0.78246088014359827</c:v>
                </c:pt>
                <c:pt idx="11">
                  <c:v>0.99034152277018783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7D-4978-A74D-67B033D7C8B7}"/>
            </c:ext>
          </c:extLst>
        </c:ser>
        <c:ser>
          <c:idx val="3"/>
          <c:order val="1"/>
          <c:tx>
            <c:strRef>
              <c:f>'Total Inversión Función Pública'!$E$28</c:f>
              <c:strCache>
                <c:ptCount val="1"/>
                <c:pt idx="0">
                  <c:v>EJECUCIÓN PRESUPUESTAL 
OBLIGACIÓN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 Inversión Función Pública'!$A$29:$A$40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'Total Inversión Función Pública'!$E$29:$E$40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7D-4978-A74D-67B033D7C8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903017712"/>
        <c:axId val="903011056"/>
      </c:barChart>
      <c:catAx>
        <c:axId val="90301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3011056"/>
        <c:crosses val="autoZero"/>
        <c:auto val="1"/>
        <c:lblAlgn val="ctr"/>
        <c:lblOffset val="100"/>
        <c:noMultiLvlLbl val="0"/>
      </c:catAx>
      <c:valAx>
        <c:axId val="9030110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0301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 Inversión Función Pública'!$B$28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Inversión Función Pública'!$A$29:$A$40</c15:sqref>
                  </c15:fullRef>
                </c:ext>
              </c:extLst>
              <c:f>'Total Inversión Función Pública'!$A$33:$A$35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Inversión Función Pública'!$B$29:$B$40</c15:sqref>
                  </c15:fullRef>
                </c:ext>
              </c:extLst>
              <c:f>'Total Inversión Función Pública'!$B$33:$B$35</c:f>
              <c:numCache>
                <c:formatCode>0%</c:formatCode>
                <c:ptCount val="3"/>
                <c:pt idx="0">
                  <c:v>0.72519657599943621</c:v>
                </c:pt>
                <c:pt idx="1">
                  <c:v>0.87097029250650593</c:v>
                </c:pt>
                <c:pt idx="2">
                  <c:v>0.91158401490122853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FF-4F25-A61E-9B4DE6B8013D}"/>
            </c:ext>
          </c:extLst>
        </c:ser>
        <c:ser>
          <c:idx val="1"/>
          <c:order val="1"/>
          <c:tx>
            <c:strRef>
              <c:f>'Total Inversión Función Pública'!$C$28</c:f>
              <c:strCache>
                <c:ptCount val="1"/>
                <c:pt idx="0">
                  <c:v>EJECUCIÓN PRESUPUESTAL 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Inversión Función Pública'!$A$29:$A$40</c15:sqref>
                  </c15:fullRef>
                </c:ext>
              </c:extLst>
              <c:f>'Total Inversión Función Pública'!$A$33:$A$35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Inversión Función Pública'!$C$29:$C$40</c15:sqref>
                  </c15:fullRef>
                </c:ext>
              </c:extLst>
              <c:f>'Total Inversión Función Pública'!$C$33:$C$35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FF-4F25-A61E-9B4DE6B801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683234240"/>
        <c:axId val="683233824"/>
      </c:barChart>
      <c:catAx>
        <c:axId val="68323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CO"/>
          </a:p>
        </c:txPr>
        <c:crossAx val="683233824"/>
        <c:crosses val="autoZero"/>
        <c:auto val="1"/>
        <c:lblAlgn val="ctr"/>
        <c:lblOffset val="100"/>
        <c:noMultiLvlLbl val="0"/>
      </c:catAx>
      <c:valAx>
        <c:axId val="6832338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68323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'Total Inversión Función Pública'!$D$28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Inversión Función Pública'!$A$29:$A$40</c15:sqref>
                  </c15:fullRef>
                </c:ext>
              </c:extLst>
              <c:f>'Total Inversión Función Pública'!$A$33:$A$35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Inversión Función Pública'!$D$29:$D$40</c15:sqref>
                  </c15:fullRef>
                </c:ext>
              </c:extLst>
              <c:f>'Total Inversión Función Pública'!$D$33:$D$35</c:f>
              <c:numCache>
                <c:formatCode>0%</c:formatCode>
                <c:ptCount val="3"/>
                <c:pt idx="0">
                  <c:v>0.21114490393109714</c:v>
                </c:pt>
                <c:pt idx="1">
                  <c:v>0.27145002211685304</c:v>
                </c:pt>
                <c:pt idx="2">
                  <c:v>0.35102034980009744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1-4E44-ABAD-4F3DB5D8CF85}"/>
            </c:ext>
          </c:extLst>
        </c:ser>
        <c:ser>
          <c:idx val="3"/>
          <c:order val="1"/>
          <c:tx>
            <c:strRef>
              <c:f>'Total Inversión Función Pública'!$E$28</c:f>
              <c:strCache>
                <c:ptCount val="1"/>
                <c:pt idx="0">
                  <c:v>EJECUCIÓN PRESUPUESTAL 
OBLIGACIÓN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Inversión Función Pública'!$A$29:$A$40</c15:sqref>
                  </c15:fullRef>
                </c:ext>
              </c:extLst>
              <c:f>'Total Inversión Función Pública'!$A$33:$A$35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Inversión Función Pública'!$E$29:$E$40</c15:sqref>
                  </c15:fullRef>
                </c:ext>
              </c:extLst>
              <c:f>'Total Inversión Función Pública'!$E$33:$E$35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41-4E44-ABAD-4F3DB5D8CF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903017712"/>
        <c:axId val="903011056"/>
      </c:barChart>
      <c:catAx>
        <c:axId val="90301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03011056"/>
        <c:crosses val="autoZero"/>
        <c:auto val="1"/>
        <c:lblAlgn val="ctr"/>
        <c:lblOffset val="100"/>
        <c:noMultiLvlLbl val="0"/>
      </c:catAx>
      <c:valAx>
        <c:axId val="90301105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90301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lt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1090086512374649E-2"/>
          <c:y val="0.1369015583049972"/>
          <c:w val="0.9255270422693197"/>
          <c:h val="0.63809587511160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'Inversion Politicas'!$B$25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Politicas'!$A$26:$A$37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Politicas'!$B$26:$B$37</c:f>
              <c:numCache>
                <c:formatCode>0%</c:formatCode>
                <c:ptCount val="12"/>
                <c:pt idx="0">
                  <c:v>0.65701772265487213</c:v>
                </c:pt>
                <c:pt idx="1">
                  <c:v>0.72895617515628164</c:v>
                </c:pt>
                <c:pt idx="2">
                  <c:v>0.72895617515628164</c:v>
                </c:pt>
                <c:pt idx="3">
                  <c:v>0.72895617515628164</c:v>
                </c:pt>
                <c:pt idx="4">
                  <c:v>0.72895617515628164</c:v>
                </c:pt>
                <c:pt idx="5">
                  <c:v>0.89402585620118336</c:v>
                </c:pt>
                <c:pt idx="6">
                  <c:v>0.94223203410980949</c:v>
                </c:pt>
                <c:pt idx="7">
                  <c:v>0.94223203410980949</c:v>
                </c:pt>
                <c:pt idx="8">
                  <c:v>0.94223203410980949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9-4229-BDB2-D540CB84A229}"/>
            </c:ext>
          </c:extLst>
        </c:ser>
        <c:ser>
          <c:idx val="1"/>
          <c:order val="1"/>
          <c:tx>
            <c:strRef>
              <c:f>'Inversion Politicas'!$C$25</c:f>
              <c:strCache>
                <c:ptCount val="1"/>
                <c:pt idx="0">
                  <c:v>EJECUCIÓN PRESUPUESTAL 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Politicas'!$A$26:$A$37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Politicas'!$C$26:$C$37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9-4229-BDB2-D540CB84A2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'Inversion Politicas'!$E$25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Politicas'!$A$26:$A$37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Politicas'!$E$26:$E$37</c:f>
              <c:numCache>
                <c:formatCode>0%</c:formatCode>
                <c:ptCount val="12"/>
                <c:pt idx="0">
                  <c:v>0</c:v>
                </c:pt>
                <c:pt idx="1">
                  <c:v>2.3531565991063496E-2</c:v>
                </c:pt>
                <c:pt idx="2">
                  <c:v>7.6633249272827011E-2</c:v>
                </c:pt>
                <c:pt idx="3">
                  <c:v>0.13073428693487249</c:v>
                </c:pt>
                <c:pt idx="4">
                  <c:v>0.18483532459691798</c:v>
                </c:pt>
                <c:pt idx="5">
                  <c:v>0.23893636221468834</c:v>
                </c:pt>
                <c:pt idx="6">
                  <c:v>0.29303739987673383</c:v>
                </c:pt>
                <c:pt idx="7">
                  <c:v>0.41994190590539993</c:v>
                </c:pt>
                <c:pt idx="8">
                  <c:v>0.47404294356744542</c:v>
                </c:pt>
                <c:pt idx="9">
                  <c:v>0.63500353980261048</c:v>
                </c:pt>
                <c:pt idx="10">
                  <c:v>0.68910457746465592</c:v>
                </c:pt>
                <c:pt idx="11">
                  <c:v>0.9999999999995528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15-459F-ABB8-03C776AAC602}"/>
            </c:ext>
          </c:extLst>
        </c:ser>
        <c:ser>
          <c:idx val="1"/>
          <c:order val="1"/>
          <c:tx>
            <c:strRef>
              <c:f>'Inversion Politicas'!$F$25</c:f>
              <c:strCache>
                <c:ptCount val="1"/>
                <c:pt idx="0">
                  <c:v>EJECUCIÓN PRESUPUESTAL 
OBLIGACIÓN 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Politicas'!$A$26:$A$37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Politicas'!$F$26:$F$37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15-459F-ABB8-03C776AAC60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'Inversion Asesoria '!$B$25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Asesoria 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Asesoria '!$B$26:$B$37</c:f>
              <c:numCache>
                <c:formatCode>0%</c:formatCode>
                <c:ptCount val="12"/>
                <c:pt idx="0">
                  <c:v>0.70814736304204717</c:v>
                </c:pt>
                <c:pt idx="1">
                  <c:v>0.83435663469135379</c:v>
                </c:pt>
                <c:pt idx="2">
                  <c:v>0.8583807007157781</c:v>
                </c:pt>
                <c:pt idx="3">
                  <c:v>0.96599485084865366</c:v>
                </c:pt>
                <c:pt idx="4">
                  <c:v>0.968610645959598</c:v>
                </c:pt>
                <c:pt idx="5">
                  <c:v>0.97292670789265612</c:v>
                </c:pt>
                <c:pt idx="6">
                  <c:v>0.98394862661898286</c:v>
                </c:pt>
                <c:pt idx="7">
                  <c:v>0.98787231928539931</c:v>
                </c:pt>
                <c:pt idx="8">
                  <c:v>0.99179601195181577</c:v>
                </c:pt>
                <c:pt idx="9">
                  <c:v>0.99441180706276011</c:v>
                </c:pt>
                <c:pt idx="10">
                  <c:v>0.99702760217370445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3F-4F70-A12A-09381173CAED}"/>
            </c:ext>
          </c:extLst>
        </c:ser>
        <c:ser>
          <c:idx val="1"/>
          <c:order val="1"/>
          <c:tx>
            <c:strRef>
              <c:f>'Inversion Asesoria '!$C$25</c:f>
              <c:strCache>
                <c:ptCount val="1"/>
                <c:pt idx="0">
                  <c:v>EJECUCIÓN PRESUPUESTAL 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Asesoria 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Asesoria '!$C$26:$C$37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3F-4F70-A12A-09381173CAE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'TOTAL Sector'!$E$25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Sector'!$A$26:$A$37</c15:sqref>
                  </c15:fullRef>
                </c:ext>
              </c:extLst>
              <c:f>'TOTAL Sector'!$A$29:$A$31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Sector'!$E$26:$E$37</c15:sqref>
                  </c15:fullRef>
                </c:ext>
              </c:extLst>
              <c:f>'TOTAL Sector'!$E$29:$E$31</c:f>
              <c:numCache>
                <c:formatCode>0%</c:formatCode>
                <c:ptCount val="3"/>
                <c:pt idx="0">
                  <c:v>0.22664808231468564</c:v>
                </c:pt>
                <c:pt idx="1">
                  <c:v>0.2897344759638748</c:v>
                </c:pt>
                <c:pt idx="2">
                  <c:v>0.35287144343196625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B-405B-9EB4-61AB409DCB8A}"/>
            </c:ext>
          </c:extLst>
        </c:ser>
        <c:ser>
          <c:idx val="3"/>
          <c:order val="1"/>
          <c:tx>
            <c:strRef>
              <c:f>'TOTAL Sector'!$F$25</c:f>
              <c:strCache>
                <c:ptCount val="1"/>
                <c:pt idx="0">
                  <c:v>EJECUCIÓN PRESUPUESTAL
OBLIGACIÓN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Sector'!$A$26:$A$37</c15:sqref>
                  </c15:fullRef>
                </c:ext>
              </c:extLst>
              <c:f>'TOTAL Sector'!$A$29:$A$31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Sector'!$F$26:$F$37</c15:sqref>
                  </c15:fullRef>
                </c:ext>
              </c:extLst>
              <c:f>'TOTAL Sector'!$F$29:$F$31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B-405B-9EB4-61AB409DCB8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'Inversion Asesoria '!$E$25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Asesoria 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Asesoria '!$E$26:$E$37</c:f>
              <c:numCache>
                <c:formatCode>0%</c:formatCode>
                <c:ptCount val="12"/>
                <c:pt idx="0">
                  <c:v>3.6832213139698257E-4</c:v>
                </c:pt>
                <c:pt idx="1">
                  <c:v>2.5375536840905818E-2</c:v>
                </c:pt>
                <c:pt idx="2">
                  <c:v>9.4627391512075179E-2</c:v>
                </c:pt>
                <c:pt idx="3">
                  <c:v>0.22606676110703683</c:v>
                </c:pt>
                <c:pt idx="4">
                  <c:v>0.30573095156674934</c:v>
                </c:pt>
                <c:pt idx="5">
                  <c:v>0.38735698835967008</c:v>
                </c:pt>
                <c:pt idx="6">
                  <c:v>0.47061538593362451</c:v>
                </c:pt>
                <c:pt idx="7">
                  <c:v>0.55320979007661686</c:v>
                </c:pt>
                <c:pt idx="8">
                  <c:v>0.63580419421960921</c:v>
                </c:pt>
                <c:pt idx="9">
                  <c:v>0.71970649591807367</c:v>
                </c:pt>
                <c:pt idx="10">
                  <c:v>0.85512705196089966</c:v>
                </c:pt>
                <c:pt idx="11">
                  <c:v>0.99999999999999978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ADF-A5FA-9B3EEEABCF10}"/>
            </c:ext>
          </c:extLst>
        </c:ser>
        <c:ser>
          <c:idx val="1"/>
          <c:order val="1"/>
          <c:tx>
            <c:strRef>
              <c:f>'Inversion Asesoria '!$F$25</c:f>
              <c:strCache>
                <c:ptCount val="1"/>
                <c:pt idx="0">
                  <c:v>EJECUCIÓN PRESUPUESTAL 
OBLIGACIÓN 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Asesoria 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Asesoria '!$F$26:$F$37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8E-4ADF-A5FA-9B3EEEABCF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'Inversion TICs'!$B$24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TICs'!$A$25:$A$36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TICs'!$B$25:$B$36</c:f>
              <c:numCache>
                <c:formatCode>0%</c:formatCode>
                <c:ptCount val="12"/>
                <c:pt idx="0">
                  <c:v>0.20872163182632028</c:v>
                </c:pt>
                <c:pt idx="1">
                  <c:v>0.35845963408857906</c:v>
                </c:pt>
                <c:pt idx="2">
                  <c:v>0.35845963408857906</c:v>
                </c:pt>
                <c:pt idx="3">
                  <c:v>0.36307936845219274</c:v>
                </c:pt>
                <c:pt idx="4">
                  <c:v>0.42525416113578829</c:v>
                </c:pt>
                <c:pt idx="5">
                  <c:v>0.63445291466367115</c:v>
                </c:pt>
                <c:pt idx="6">
                  <c:v>0.73925013508534754</c:v>
                </c:pt>
                <c:pt idx="7">
                  <c:v>0.83123707760985366</c:v>
                </c:pt>
                <c:pt idx="8">
                  <c:v>0.84971601506430827</c:v>
                </c:pt>
                <c:pt idx="9">
                  <c:v>0.84971601506430827</c:v>
                </c:pt>
                <c:pt idx="10">
                  <c:v>0.901843799931759</c:v>
                </c:pt>
                <c:pt idx="11">
                  <c:v>0.96000000010712416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4-407C-A9A0-497C71A7433D}"/>
            </c:ext>
          </c:extLst>
        </c:ser>
        <c:ser>
          <c:idx val="1"/>
          <c:order val="1"/>
          <c:tx>
            <c:strRef>
              <c:f>'Inversion TICs'!$C$24</c:f>
              <c:strCache>
                <c:ptCount val="1"/>
                <c:pt idx="0">
                  <c:v>EJECUCIÓN PRESUPUESTAL 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TICs'!$A$25:$A$36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TICs'!$C$25:$C$36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4-407C-A9A0-497C71A7433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'Inversion TICs'!$E$24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TICs'!$A$25:$A$36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TICs'!$E$25:$E$36</c:f>
              <c:numCache>
                <c:formatCode>0%</c:formatCode>
                <c:ptCount val="12"/>
                <c:pt idx="0">
                  <c:v>0</c:v>
                </c:pt>
                <c:pt idx="1">
                  <c:v>1.1457158814970012E-2</c:v>
                </c:pt>
                <c:pt idx="2">
                  <c:v>7.0335956503906838E-2</c:v>
                </c:pt>
                <c:pt idx="3">
                  <c:v>9.811895767125732E-2</c:v>
                </c:pt>
                <c:pt idx="4">
                  <c:v>0.13052169320222146</c:v>
                </c:pt>
                <c:pt idx="5">
                  <c:v>0.17993969750273892</c:v>
                </c:pt>
                <c:pt idx="6">
                  <c:v>0.34257608051738153</c:v>
                </c:pt>
                <c:pt idx="7">
                  <c:v>0.50040674952414266</c:v>
                </c:pt>
                <c:pt idx="8">
                  <c:v>0.64258537166932062</c:v>
                </c:pt>
                <c:pt idx="9">
                  <c:v>0.71125598874444707</c:v>
                </c:pt>
                <c:pt idx="10">
                  <c:v>0.76144766836511879</c:v>
                </c:pt>
                <c:pt idx="11">
                  <c:v>0.94137683528975624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0-495F-94E0-E5E33608C700}"/>
            </c:ext>
          </c:extLst>
        </c:ser>
        <c:ser>
          <c:idx val="1"/>
          <c:order val="1"/>
          <c:tx>
            <c:strRef>
              <c:f>'Inversion TICs'!$F$24</c:f>
              <c:strCache>
                <c:ptCount val="1"/>
                <c:pt idx="0">
                  <c:v>EJECUCIÓN PRESUPUESTAL 
OBLIGACIÓN </c:v>
                </c:pt>
              </c:strCache>
            </c:strRef>
          </c:tx>
          <c:spPr>
            <a:solidFill>
              <a:srgbClr val="E4786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'Inversion TICs'!$A$25:$A$36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TICs'!$F$25:$F$36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E0-495F-94E0-E5E33608C7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5134273266073376E-2"/>
          <c:y val="0.17550000000000002"/>
          <c:w val="0.92139904429962027"/>
          <c:h val="0.63467165354330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'Inversion Infraestructura'!$B$25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'Inversion Infraestructura'!$A$26:$A$37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Infraestructura'!$B$26:$B$37</c:f>
              <c:numCache>
                <c:formatCode>0%</c:formatCode>
                <c:ptCount val="12"/>
                <c:pt idx="0">
                  <c:v>2.1995696031746031E-2</c:v>
                </c:pt>
                <c:pt idx="1">
                  <c:v>2.1995696031746031E-2</c:v>
                </c:pt>
                <c:pt idx="2">
                  <c:v>2.1995696031746031E-2</c:v>
                </c:pt>
                <c:pt idx="3">
                  <c:v>2.1995696031746031E-2</c:v>
                </c:pt>
                <c:pt idx="4">
                  <c:v>2.3849365079365078E-2</c:v>
                </c:pt>
                <c:pt idx="5">
                  <c:v>0.73432555555555556</c:v>
                </c:pt>
                <c:pt idx="6">
                  <c:v>0.73432555555555556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D-4C8D-AB71-990D1E855E1B}"/>
            </c:ext>
          </c:extLst>
        </c:ser>
        <c:ser>
          <c:idx val="1"/>
          <c:order val="1"/>
          <c:tx>
            <c:strRef>
              <c:f>'Inversion Infraestructura'!$C$25</c:f>
              <c:strCache>
                <c:ptCount val="1"/>
                <c:pt idx="0">
                  <c:v>EJECUCIÓN PRESUPUESTAL 
COMPROMISO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'Inversion Infraestructura'!$A$26:$A$37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Infraestructura'!$C$26:$C$37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4D-4C8D-AB71-990D1E855E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'Inversion Infraestructura'!$E$25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'Inversion Infraestructura'!$A$26:$A$37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Infraestructura'!$E$26:$E$37</c:f>
              <c:numCache>
                <c:formatCode>0%</c:formatCode>
                <c:ptCount val="12"/>
                <c:pt idx="0">
                  <c:v>0</c:v>
                </c:pt>
                <c:pt idx="1">
                  <c:v>2.1995695238095237E-2</c:v>
                </c:pt>
                <c:pt idx="2">
                  <c:v>2.1995695238095237E-2</c:v>
                </c:pt>
                <c:pt idx="3">
                  <c:v>2.1995695238095237E-2</c:v>
                </c:pt>
                <c:pt idx="4">
                  <c:v>2.1995695238095237E-2</c:v>
                </c:pt>
                <c:pt idx="5">
                  <c:v>2.1995695238095237E-2</c:v>
                </c:pt>
                <c:pt idx="6">
                  <c:v>2.1995695238095237E-2</c:v>
                </c:pt>
                <c:pt idx="7">
                  <c:v>2.3849364285714283E-2</c:v>
                </c:pt>
                <c:pt idx="8">
                  <c:v>2.3849364285714283E-2</c:v>
                </c:pt>
                <c:pt idx="9">
                  <c:v>0.25242079285714286</c:v>
                </c:pt>
                <c:pt idx="10">
                  <c:v>0.9999999992063493</c:v>
                </c:pt>
                <c:pt idx="11">
                  <c:v>0.9999999992063493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D-4332-88A1-257F5ACEC3CE}"/>
            </c:ext>
          </c:extLst>
        </c:ser>
        <c:ser>
          <c:idx val="1"/>
          <c:order val="1"/>
          <c:tx>
            <c:strRef>
              <c:f>'Inversion Infraestructura'!$F$25</c:f>
              <c:strCache>
                <c:ptCount val="1"/>
                <c:pt idx="0">
                  <c:v>EJECUCIÓN PRESUPUESTAL 
OBLIGACIÓN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'Inversion Infraestructura'!$A$26:$A$37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'Inversion Infraestructura'!$F$26:$F$37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6D-4332-88A1-257F5ACEC3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accent2"/>
                </a:solidFill>
              </a:rPr>
              <a:t>Proyectos de Inversión a Nivel de Compromiso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accent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'Proyectos inversion '!$D$3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inversion '!$C$4:$C$7</c:f>
              <c:strCache>
                <c:ptCount val="4"/>
                <c:pt idx="0">
                  <c:v>Asesoría </c:v>
                </c:pt>
                <c:pt idx="1">
                  <c:v>Políticas</c:v>
                </c:pt>
                <c:pt idx="2">
                  <c:v>Tecnología</c:v>
                </c:pt>
                <c:pt idx="3">
                  <c:v>Infraestructura </c:v>
                </c:pt>
              </c:strCache>
            </c:strRef>
          </c:cat>
          <c:val>
            <c:numRef>
              <c:f>'Proyectos inversion '!$D$4:$D$7</c:f>
              <c:numCache>
                <c:formatCode>0.0%</c:formatCode>
                <c:ptCount val="4"/>
                <c:pt idx="0">
                  <c:v>0.98394862661898286</c:v>
                </c:pt>
                <c:pt idx="1">
                  <c:v>0.94223203410980949</c:v>
                </c:pt>
                <c:pt idx="2">
                  <c:v>0.73925013508534754</c:v>
                </c:pt>
                <c:pt idx="3">
                  <c:v>0.73432555555555556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27-46A8-9FE9-2F454D70C7BE}"/>
            </c:ext>
          </c:extLst>
        </c:ser>
        <c:ser>
          <c:idx val="1"/>
          <c:order val="1"/>
          <c:tx>
            <c:strRef>
              <c:f>'Proyectos inversion '!$E$3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inversion '!$C$4:$C$7</c:f>
              <c:strCache>
                <c:ptCount val="4"/>
                <c:pt idx="0">
                  <c:v>Asesoría </c:v>
                </c:pt>
                <c:pt idx="1">
                  <c:v>Políticas</c:v>
                </c:pt>
                <c:pt idx="2">
                  <c:v>Tecnología</c:v>
                </c:pt>
                <c:pt idx="3">
                  <c:v>Infraestructura </c:v>
                </c:pt>
              </c:strCache>
            </c:strRef>
          </c:cat>
          <c:val>
            <c:numRef>
              <c:f>'Proyectos inversion '!$E$4:$E$7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27-46A8-9FE9-2F454D70C7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9060600"/>
        <c:axId val="739061240"/>
      </c:barChart>
      <c:catAx>
        <c:axId val="739060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9061240"/>
        <c:crosses val="autoZero"/>
        <c:auto val="1"/>
        <c:lblAlgn val="ctr"/>
        <c:lblOffset val="100"/>
        <c:noMultiLvlLbl val="0"/>
      </c:catAx>
      <c:valAx>
        <c:axId val="73906124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906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accent4"/>
                </a:solidFill>
              </a:rPr>
              <a:t>Proyectos de Inversión a Nivel de</a:t>
            </a:r>
            <a:r>
              <a:rPr lang="es-CO" baseline="0">
                <a:solidFill>
                  <a:schemeClr val="accent4"/>
                </a:solidFill>
              </a:rPr>
              <a:t> Obligación</a:t>
            </a:r>
            <a:endParaRPr lang="es-CO">
              <a:solidFill>
                <a:schemeClr val="accent4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'Proyectos inversion '!$G$3</c:f>
              <c:strCache>
                <c:ptCount val="1"/>
                <c:pt idx="0">
                  <c:v>Programado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inversion '!$C$4:$C$7</c:f>
              <c:strCache>
                <c:ptCount val="4"/>
                <c:pt idx="0">
                  <c:v>Asesoría </c:v>
                </c:pt>
                <c:pt idx="1">
                  <c:v>Políticas</c:v>
                </c:pt>
                <c:pt idx="2">
                  <c:v>Tecnología</c:v>
                </c:pt>
                <c:pt idx="3">
                  <c:v>Infraestructura </c:v>
                </c:pt>
              </c:strCache>
            </c:strRef>
          </c:cat>
          <c:val>
            <c:numRef>
              <c:f>'Proyectos inversion '!$G$4:$G$7</c:f>
              <c:numCache>
                <c:formatCode>0.0%</c:formatCode>
                <c:ptCount val="4"/>
                <c:pt idx="0">
                  <c:v>0.47061538593362451</c:v>
                </c:pt>
                <c:pt idx="1">
                  <c:v>0.29303739987673383</c:v>
                </c:pt>
                <c:pt idx="2">
                  <c:v>0.34257608051738153</c:v>
                </c:pt>
                <c:pt idx="3">
                  <c:v>2.1995695238095237E-2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D-4A53-AB2C-719C9373C349}"/>
            </c:ext>
          </c:extLst>
        </c:ser>
        <c:ser>
          <c:idx val="1"/>
          <c:order val="1"/>
          <c:tx>
            <c:strRef>
              <c:f>'Proyectos inversion '!$H$3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'Proyectos inversion '!$C$4:$C$7</c:f>
              <c:strCache>
                <c:ptCount val="4"/>
                <c:pt idx="0">
                  <c:v>Asesoría </c:v>
                </c:pt>
                <c:pt idx="1">
                  <c:v>Políticas</c:v>
                </c:pt>
                <c:pt idx="2">
                  <c:v>Tecnología</c:v>
                </c:pt>
                <c:pt idx="3">
                  <c:v>Infraestructura </c:v>
                </c:pt>
              </c:strCache>
            </c:strRef>
          </c:cat>
          <c:val>
            <c:numRef>
              <c:f>'Proyectos inversion '!$H$4:$H$7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8D-4A53-AB2C-719C9373C3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39060600"/>
        <c:axId val="739061240"/>
      </c:barChart>
      <c:catAx>
        <c:axId val="739060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9061240"/>
        <c:crosses val="autoZero"/>
        <c:auto val="1"/>
        <c:lblAlgn val="ctr"/>
        <c:lblOffset val="100"/>
        <c:noMultiLvlLbl val="0"/>
      </c:catAx>
      <c:valAx>
        <c:axId val="739061240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39060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layout>
        <c:manualLayout>
          <c:xMode val="edge"/>
          <c:yMode val="edge"/>
          <c:x val="0.25586437689116881"/>
          <c:y val="2.1533641887742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1860873774602446E-2"/>
          <c:y val="0.10397961474282481"/>
          <c:w val="0.92379215176402918"/>
          <c:h val="0.54143806875133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'TOTAL ESAP'!$J$25</c:f>
              <c:strCache>
                <c:ptCount val="1"/>
                <c:pt idx="0">
                  <c:v>ACUERDO DESEMPEÑO
COMPROMISO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ESAP'!$J$26:$J$37</c15:sqref>
                  </c15:fullRef>
                </c:ext>
              </c:extLst>
              <c:f>'TOTAL ESAP'!$J$29:$J$31</c:f>
              <c:numCache>
                <c:formatCode>0%</c:formatCode>
                <c:ptCount val="3"/>
                <c:pt idx="0">
                  <c:v>0.37703222729168306</c:v>
                </c:pt>
                <c:pt idx="1">
                  <c:v>0.4178751221612777</c:v>
                </c:pt>
                <c:pt idx="2">
                  <c:v>0.46658665518292131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0-4577-A762-31A19B4423B9}"/>
            </c:ext>
          </c:extLst>
        </c:ser>
        <c:ser>
          <c:idx val="0"/>
          <c:order val="1"/>
          <c:tx>
            <c:strRef>
              <c:f>'TOTAL ESAP'!$K$25</c:f>
              <c:strCache>
                <c:ptCount val="1"/>
                <c:pt idx="0">
                  <c:v>EJECUCIÓN PRESUPUESTAL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ESAP'!$K$26:$K$37</c15:sqref>
                  </c15:fullRef>
                </c:ext>
              </c:extLst>
              <c:f>'TOTAL ESAP'!$K$29:$K$31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B0-4577-A762-31A19B4423B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'TOTAL ESAP'!$M$25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ESAP'!$M$26:$M$37</c15:sqref>
                  </c15:fullRef>
                </c:ext>
              </c:extLst>
              <c:f>'TOTAL ESAP'!$M$29:$M$31</c:f>
              <c:numCache>
                <c:formatCode>0%</c:formatCode>
                <c:ptCount val="3"/>
                <c:pt idx="0">
                  <c:v>0.22840212930617104</c:v>
                </c:pt>
                <c:pt idx="1">
                  <c:v>0.29017706059511128</c:v>
                </c:pt>
                <c:pt idx="2">
                  <c:v>0.35173311873626417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9-4005-A298-10E189CF7B81}"/>
            </c:ext>
          </c:extLst>
        </c:ser>
        <c:ser>
          <c:idx val="3"/>
          <c:order val="1"/>
          <c:tx>
            <c:strRef>
              <c:f>'TOTAL ESAP'!$N$25</c:f>
              <c:strCache>
                <c:ptCount val="1"/>
                <c:pt idx="0">
                  <c:v>EJECUCIÓN PRESUPUESTAL
OBLIGACIÓN 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ESAP'!$A$29:$A$31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ESAP'!$N$26:$N$37</c15:sqref>
                  </c15:fullRef>
                </c:ext>
              </c:extLst>
              <c:f>'TOTAL ESAP'!$N$29:$N$31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99-4005-A298-10E189CF7B8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 Funcionamiento </a:t>
            </a:r>
          </a:p>
        </c:rich>
      </c:tx>
      <c:layout>
        <c:manualLayout>
          <c:xMode val="edge"/>
          <c:yMode val="edge"/>
          <c:x val="7.8470941823687246E-2"/>
          <c:y val="1.3552362299609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8371006008277228E-2"/>
          <c:y val="0.19576360632979845"/>
          <c:w val="0.88728211648344779"/>
          <c:h val="0.493550766055684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'TOTAL ESAP'!$B$25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ESAP'!$A$26:$A$28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ESAP'!$B$26:$B$37</c15:sqref>
                  </c15:fullRef>
                </c:ext>
              </c:extLst>
              <c:f>'TOTAL ESAP'!$B$26:$B$28</c:f>
              <c:numCache>
                <c:formatCode>0%</c:formatCode>
                <c:ptCount val="3"/>
                <c:pt idx="0">
                  <c:v>0.31393937580120773</c:v>
                </c:pt>
                <c:pt idx="1">
                  <c:v>0.34301305125957549</c:v>
                </c:pt>
                <c:pt idx="2">
                  <c:v>0.35298664246488193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B-4163-AB74-7D50924D65FA}"/>
            </c:ext>
          </c:extLst>
        </c:ser>
        <c:ser>
          <c:idx val="0"/>
          <c:order val="1"/>
          <c:tx>
            <c:strRef>
              <c:f>'TOTAL ESAP'!$C$25</c:f>
              <c:strCache>
                <c:ptCount val="1"/>
                <c:pt idx="0">
                  <c:v>EJECUCIÓN PRESUPUESTAL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ESAP'!$A$26:$A$28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ESAP'!$C$26:$C$37</c15:sqref>
                  </c15:fullRef>
                </c:ext>
              </c:extLst>
              <c:f>'TOTAL ESAP'!$C$26:$C$28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4B-4163-AB74-7D50924D65F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Obligación  Funcionamiento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'TOTAL ESAP'!$D$25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ESAP'!$A$26:$A$28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ESAP'!$D$26:$D$37</c15:sqref>
                  </c15:fullRef>
                </c:ext>
              </c:extLst>
              <c:f>'TOTAL ESAP'!$D$26:$D$28</c:f>
              <c:numCache>
                <c:formatCode>0%</c:formatCode>
                <c:ptCount val="3"/>
                <c:pt idx="0">
                  <c:v>1.6292693505850921E-2</c:v>
                </c:pt>
                <c:pt idx="1">
                  <c:v>4.6541896029823573E-2</c:v>
                </c:pt>
                <c:pt idx="2">
                  <c:v>8.3249071800556268E-2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5-499B-AED5-F42AF82ADFDB}"/>
            </c:ext>
          </c:extLst>
        </c:ser>
        <c:ser>
          <c:idx val="3"/>
          <c:order val="1"/>
          <c:tx>
            <c:strRef>
              <c:f>'TOTAL ESAP'!$E$25</c:f>
              <c:strCache>
                <c:ptCount val="1"/>
                <c:pt idx="0">
                  <c:v>EJECUCIÓN PRESUPUESTAL
OBLIGACIÓN 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ESAP'!$A$26:$A$28</c:f>
              <c:strCache>
                <c:ptCount val="3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ESAP'!$E$26:$E$37</c15:sqref>
                  </c15:fullRef>
                </c:ext>
              </c:extLst>
              <c:f>'TOTAL ESAP'!$E$26:$E$28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5-499B-AED5-F42AF82ADF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400"/>
              <a:t>Acuerdo desempeño VS Ejecución Presupuestal a nivel de Compromiso Inversión </a:t>
            </a:r>
          </a:p>
        </c:rich>
      </c:tx>
      <c:layout>
        <c:manualLayout>
          <c:xMode val="edge"/>
          <c:yMode val="edge"/>
          <c:x val="0.10105985854563601"/>
          <c:y val="3.35054113611718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3726538187721254E-2"/>
          <c:y val="0.29552885163761117"/>
          <c:w val="0.93627346181227877"/>
          <c:h val="0.4456634483079343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'TOTAL ESAP'!$F$25</c:f>
              <c:strCache>
                <c:ptCount val="1"/>
                <c:pt idx="0">
                  <c:v>ACUERDO DESEMPEÑO
COMPROMISO 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ESAP'!$A$27:$A$29</c:f>
              <c:strCache>
                <c:ptCount val="3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ESAP'!$F$26:$F$37</c15:sqref>
                  </c15:fullRef>
                </c:ext>
              </c:extLst>
              <c:f>'TOTAL ESAP'!$F$27:$F$29</c:f>
              <c:numCache>
                <c:formatCode>0%</c:formatCode>
                <c:ptCount val="3"/>
                <c:pt idx="0">
                  <c:v>0.19024900752992574</c:v>
                </c:pt>
                <c:pt idx="1">
                  <c:v>0.30561466377096314</c:v>
                </c:pt>
                <c:pt idx="2">
                  <c:v>0.38801919994745848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2-4EC9-A156-9E57BD5DB882}"/>
            </c:ext>
          </c:extLst>
        </c:ser>
        <c:ser>
          <c:idx val="0"/>
          <c:order val="1"/>
          <c:tx>
            <c:strRef>
              <c:f>'TOTAL ESAP'!$G$25</c:f>
              <c:strCache>
                <c:ptCount val="1"/>
                <c:pt idx="0">
                  <c:v>EJECUCIÓN PRESUPUESTAL
COMPROMISO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ESAP'!$A$27:$A$29</c:f>
              <c:strCache>
                <c:ptCount val="3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ESAP'!$G$26:$G$37</c15:sqref>
                  </c15:fullRef>
                </c:ext>
              </c:extLst>
              <c:f>'TOTAL ESAP'!$G$27:$G$29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2-4EC9-A156-9E57BD5DB8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 sz="1400"/>
              <a:t>Acuerdo desempeño VS Ejecución Presupuestal a nivel de Obligación  Inversión </a:t>
            </a:r>
          </a:p>
        </c:rich>
      </c:tx>
      <c:layout>
        <c:manualLayout>
          <c:xMode val="edge"/>
          <c:yMode val="edge"/>
          <c:x val="0.13087581951518676"/>
          <c:y val="7.19573242074070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'TOTAL ESAP'!$H$25</c:f>
              <c:strCache>
                <c:ptCount val="1"/>
                <c:pt idx="0">
                  <c:v>ACUERDO DESEMPEÑO
OBLIGACIÓN 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ESAP'!$A$27:$A$29</c:f>
              <c:strCache>
                <c:ptCount val="3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ESAP'!$H$26:$H$37</c15:sqref>
                  </c15:fullRef>
                </c:ext>
              </c:extLst>
              <c:f>'TOTAL ESAP'!$H$27:$H$29</c:f>
              <c:numCache>
                <c:formatCode>0%</c:formatCode>
                <c:ptCount val="3"/>
                <c:pt idx="0">
                  <c:v>0.10371268305140187</c:v>
                </c:pt>
                <c:pt idx="1">
                  <c:v>0.22075497501537814</c:v>
                </c:pt>
                <c:pt idx="2">
                  <c:v>0.29049461889855571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8-444B-B70F-F92971CA0754}"/>
            </c:ext>
          </c:extLst>
        </c:ser>
        <c:ser>
          <c:idx val="3"/>
          <c:order val="1"/>
          <c:tx>
            <c:strRef>
              <c:f>'TOTAL ESAP'!$I$25</c:f>
              <c:strCache>
                <c:ptCount val="1"/>
                <c:pt idx="0">
                  <c:v>EJECUCIÓN PRESUPUESTAL
OBLIGACIÓN 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ESAP'!$A$26:$A$37</c15:sqref>
                  </c15:fullRef>
                </c:ext>
              </c:extLst>
              <c:f>'TOTAL ESAP'!$A$27:$A$29</c:f>
              <c:strCache>
                <c:ptCount val="3"/>
                <c:pt idx="0">
                  <c:v>Febrero</c:v>
                </c:pt>
                <c:pt idx="1">
                  <c:v>Marzo</c:v>
                </c:pt>
                <c:pt idx="2">
                  <c:v>Abril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ESAP'!$I$26:$I$37</c15:sqref>
                  </c15:fullRef>
                </c:ext>
              </c:extLst>
              <c:f>'TOTAL ESAP'!$I$27:$I$29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8-444B-B70F-F92971CA075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CO"/>
              <a:t>Acuerdo desempeño VS Ejecución Presupuestal a nivel de Compromiso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'TOTAL Función Pública'!$B$24</c:f>
              <c:strCache>
                <c:ptCount val="1"/>
                <c:pt idx="0">
                  <c:v>ACUERDO DESEMPEÑO
COMPROMISO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Función Pública'!$A$25:$A$36</c15:sqref>
                  </c15:fullRef>
                </c:ext>
              </c:extLst>
              <c:f>'TOTAL Función Pública'!$A$29:$A$31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Función Pública'!$B$25:$B$36</c15:sqref>
                  </c15:fullRef>
                </c:ext>
              </c:extLst>
              <c:f>'TOTAL Función Pública'!$B$29:$B$31</c:f>
              <c:numCache>
                <c:formatCode>0.0%</c:formatCode>
                <c:ptCount val="3"/>
                <c:pt idx="0">
                  <c:v>0.52191428323572497</c:v>
                </c:pt>
                <c:pt idx="1">
                  <c:v>0.63104320283487536</c:v>
                </c:pt>
                <c:pt idx="2">
                  <c:v>0.70427824832198194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96-4826-9221-17B6E188A8D0}"/>
            </c:ext>
          </c:extLst>
        </c:ser>
        <c:ser>
          <c:idx val="0"/>
          <c:order val="1"/>
          <c:tx>
            <c:strRef>
              <c:f>'TOTAL Función Pública'!$C$24</c:f>
              <c:strCache>
                <c:ptCount val="1"/>
                <c:pt idx="0">
                  <c:v>EJECUCIÓN PRESUPUESTAL
COMPROMISO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'TOTAL Función Pública'!$A$25:$A$36</c15:sqref>
                  </c15:fullRef>
                </c:ext>
              </c:extLst>
              <c:f>'TOTAL Función Pública'!$A$29:$A$31</c:f>
              <c:strCache>
                <c:ptCount val="3"/>
                <c:pt idx="0">
                  <c:v>Mayo</c:v>
                </c:pt>
                <c:pt idx="1">
                  <c:v>Junio</c:v>
                </c:pt>
                <c:pt idx="2">
                  <c:v>Julio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'TOTAL Función Pública'!$C$25:$C$36</c15:sqref>
                  </c15:fullRef>
                </c:ext>
              </c:extLst>
              <c:f>'TOTAL Función Pública'!$C$29:$C$31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96-4826-9221-17B6E188A8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1167597360"/>
        <c:axId val="925904224"/>
      </c:barChart>
      <c:catAx>
        <c:axId val="116759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25904224"/>
        <c:crosses val="autoZero"/>
        <c:auto val="1"/>
        <c:lblAlgn val="ctr"/>
        <c:lblOffset val="100"/>
        <c:noMultiLvlLbl val="0"/>
      </c:catAx>
      <c:valAx>
        <c:axId val="925904224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116759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Inversion Politicas'!I4"/><Relationship Id="rId3" Type="http://schemas.openxmlformats.org/officeDocument/2006/relationships/hyperlink" Target="#'TOTAL ESAP'!Q4"/><Relationship Id="rId7" Type="http://schemas.openxmlformats.org/officeDocument/2006/relationships/hyperlink" Target="#'Inversion TICs'!I4"/><Relationship Id="rId2" Type="http://schemas.openxmlformats.org/officeDocument/2006/relationships/hyperlink" Target="#'Total Inversi&#243;n Funci&#243;n P&#250;blica'!A1"/><Relationship Id="rId1" Type="http://schemas.openxmlformats.org/officeDocument/2006/relationships/hyperlink" Target="#'TOTAL Funci&#243;n P&#250;blica'!I4"/><Relationship Id="rId6" Type="http://schemas.openxmlformats.org/officeDocument/2006/relationships/hyperlink" Target="#'TOTAL Sector'!A1"/><Relationship Id="rId5" Type="http://schemas.openxmlformats.org/officeDocument/2006/relationships/hyperlink" Target="#'Inversion Infraestructura'!I4"/><Relationship Id="rId10" Type="http://schemas.openxmlformats.org/officeDocument/2006/relationships/image" Target="../media/image1.png"/><Relationship Id="rId4" Type="http://schemas.openxmlformats.org/officeDocument/2006/relationships/hyperlink" Target="#'Funcionamiento FP'!A1"/><Relationship Id="rId9" Type="http://schemas.openxmlformats.org/officeDocument/2006/relationships/hyperlink" Target="#'Inversion Asesoria '!I4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hyperlink" Target="#MEN&#218;!L2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18;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18;!A1"/><Relationship Id="rId7" Type="http://schemas.openxmlformats.org/officeDocument/2006/relationships/chart" Target="../charts/chart8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&#218;!A1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18;!A1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MEN&#218;!A1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MEN&#218;!A1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MEN&#218;!A1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hyperlink" Target="#MEN&#218;!L2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16</xdr:row>
      <xdr:rowOff>152400</xdr:rowOff>
    </xdr:from>
    <xdr:to>
      <xdr:col>5</xdr:col>
      <xdr:colOff>600075</xdr:colOff>
      <xdr:row>19</xdr:row>
      <xdr:rowOff>114300</xdr:rowOff>
    </xdr:to>
    <xdr:sp macro="" textlink="">
      <xdr:nvSpPr>
        <xdr:cNvPr id="5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2F6735-05F5-4D87-91BE-B380AD481983}"/>
            </a:ext>
          </a:extLst>
        </xdr:cNvPr>
        <xdr:cNvSpPr/>
      </xdr:nvSpPr>
      <xdr:spPr>
        <a:xfrm>
          <a:off x="1657350" y="2057400"/>
          <a:ext cx="2752725" cy="533400"/>
        </a:xfrm>
        <a:prstGeom prst="roundRect">
          <a:avLst/>
        </a:prstGeom>
        <a:solidFill>
          <a:schemeClr val="accent1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TOTAL FUNCIÓN</a:t>
          </a:r>
          <a:r>
            <a:rPr lang="es-ES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PÚBLICA</a:t>
          </a:r>
          <a:endParaRPr lang="es-ES" sz="1100"/>
        </a:p>
      </xdr:txBody>
    </xdr:sp>
    <xdr:clientData/>
  </xdr:twoCellAnchor>
  <xdr:twoCellAnchor>
    <xdr:from>
      <xdr:col>0</xdr:col>
      <xdr:colOff>133350</xdr:colOff>
      <xdr:row>22</xdr:row>
      <xdr:rowOff>19050</xdr:rowOff>
    </xdr:from>
    <xdr:to>
      <xdr:col>3</xdr:col>
      <xdr:colOff>600075</xdr:colOff>
      <xdr:row>24</xdr:row>
      <xdr:rowOff>171450</xdr:rowOff>
    </xdr:to>
    <xdr:sp macro="" textlink="">
      <xdr:nvSpPr>
        <xdr:cNvPr id="6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3A1525-ECF0-4E01-B189-6B21D0D34839}"/>
            </a:ext>
          </a:extLst>
        </xdr:cNvPr>
        <xdr:cNvSpPr/>
      </xdr:nvSpPr>
      <xdr:spPr>
        <a:xfrm>
          <a:off x="133350" y="3067050"/>
          <a:ext cx="2752725" cy="533400"/>
        </a:xfrm>
        <a:prstGeom prst="roundRect">
          <a:avLst/>
        </a:prstGeom>
        <a:gradFill flip="none" rotWithShape="1">
          <a:gsLst>
            <a:gs pos="0">
              <a:schemeClr val="accent6">
                <a:lumMod val="50000"/>
                <a:shade val="30000"/>
                <a:satMod val="115000"/>
              </a:schemeClr>
            </a:gs>
            <a:gs pos="50000">
              <a:schemeClr val="accent6">
                <a:lumMod val="50000"/>
                <a:shade val="67500"/>
                <a:satMod val="115000"/>
              </a:schemeClr>
            </a:gs>
            <a:gs pos="100000">
              <a:schemeClr val="accent6">
                <a:lumMod val="50000"/>
                <a:shade val="100000"/>
                <a:satMod val="115000"/>
              </a:schemeClr>
            </a:gs>
          </a:gsLst>
          <a:path path="circle">
            <a:fillToRect l="50000" t="50000" r="50000" b="50000"/>
          </a:path>
          <a:tileRect/>
        </a:gra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TOTAL INVERSIÓN </a:t>
          </a:r>
          <a:endParaRPr lang="es-ES" sz="1400">
            <a:effectLst/>
          </a:endParaRPr>
        </a:p>
      </xdr:txBody>
    </xdr:sp>
    <xdr:clientData/>
  </xdr:twoCellAnchor>
  <xdr:twoCellAnchor>
    <xdr:from>
      <xdr:col>7</xdr:col>
      <xdr:colOff>409575</xdr:colOff>
      <xdr:row>16</xdr:row>
      <xdr:rowOff>123825</xdr:rowOff>
    </xdr:from>
    <xdr:to>
      <xdr:col>11</xdr:col>
      <xdr:colOff>114300</xdr:colOff>
      <xdr:row>19</xdr:row>
      <xdr:rowOff>85725</xdr:rowOff>
    </xdr:to>
    <xdr:sp macro="" textlink="">
      <xdr:nvSpPr>
        <xdr:cNvPr id="7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F00CE91-A4BB-4436-A55B-6A6ACF829CA2}"/>
            </a:ext>
          </a:extLst>
        </xdr:cNvPr>
        <xdr:cNvSpPr/>
      </xdr:nvSpPr>
      <xdr:spPr>
        <a:xfrm>
          <a:off x="5743575" y="2028825"/>
          <a:ext cx="2752725" cy="533400"/>
        </a:xfrm>
        <a:prstGeom prst="roundRect">
          <a:avLst/>
        </a:prstGeom>
        <a:solidFill>
          <a:schemeClr val="accent4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TOTAL ESAP</a:t>
          </a:r>
          <a:endParaRPr lang="es-ES" sz="1100"/>
        </a:p>
      </xdr:txBody>
    </xdr:sp>
    <xdr:clientData/>
  </xdr:twoCellAnchor>
  <xdr:twoCellAnchor>
    <xdr:from>
      <xdr:col>4</xdr:col>
      <xdr:colOff>142875</xdr:colOff>
      <xdr:row>21</xdr:row>
      <xdr:rowOff>171450</xdr:rowOff>
    </xdr:from>
    <xdr:to>
      <xdr:col>7</xdr:col>
      <xdr:colOff>609600</xdr:colOff>
      <xdr:row>24</xdr:row>
      <xdr:rowOff>133350</xdr:rowOff>
    </xdr:to>
    <xdr:sp macro="" textlink="">
      <xdr:nvSpPr>
        <xdr:cNvPr id="8" name="Rectángulo redondead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BDF50E-D273-41E7-9FB1-8F90BA176EA0}"/>
            </a:ext>
          </a:extLst>
        </xdr:cNvPr>
        <xdr:cNvSpPr/>
      </xdr:nvSpPr>
      <xdr:spPr>
        <a:xfrm>
          <a:off x="3190875" y="3028950"/>
          <a:ext cx="2752725" cy="5334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FUNCIONAMIENTO </a:t>
          </a:r>
          <a:endParaRPr lang="es-ES" sz="1400">
            <a:effectLst/>
          </a:endParaRPr>
        </a:p>
      </xdr:txBody>
    </xdr:sp>
    <xdr:clientData/>
  </xdr:twoCellAnchor>
  <xdr:twoCellAnchor>
    <xdr:from>
      <xdr:col>0</xdr:col>
      <xdr:colOff>428626</xdr:colOff>
      <xdr:row>26</xdr:row>
      <xdr:rowOff>28575</xdr:rowOff>
    </xdr:from>
    <xdr:to>
      <xdr:col>2</xdr:col>
      <xdr:colOff>752476</xdr:colOff>
      <xdr:row>29</xdr:row>
      <xdr:rowOff>104775</xdr:rowOff>
    </xdr:to>
    <xdr:sp macro="" textlink="">
      <xdr:nvSpPr>
        <xdr:cNvPr id="9" name="Rectángulo redondeado 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B3DF26-9812-4885-B84D-77F45F9A5A99}"/>
            </a:ext>
          </a:extLst>
        </xdr:cNvPr>
        <xdr:cNvSpPr/>
      </xdr:nvSpPr>
      <xdr:spPr>
        <a:xfrm>
          <a:off x="428626" y="3838575"/>
          <a:ext cx="1847850" cy="647700"/>
        </a:xfrm>
        <a:prstGeom prst="roundRect">
          <a:avLst/>
        </a:prstGeom>
        <a:solidFill>
          <a:schemeClr val="accent6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PROYECTO</a:t>
          </a: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"INFRAESTRUCTURA"</a:t>
          </a:r>
          <a:endParaRPr lang="es-ES" sz="1200"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13</xdr:col>
      <xdr:colOff>466725</xdr:colOff>
      <xdr:row>16</xdr:row>
      <xdr:rowOff>104775</xdr:rowOff>
    </xdr:from>
    <xdr:to>
      <xdr:col>17</xdr:col>
      <xdr:colOff>171450</xdr:colOff>
      <xdr:row>19</xdr:row>
      <xdr:rowOff>66675</xdr:rowOff>
    </xdr:to>
    <xdr:sp macro="" textlink="">
      <xdr:nvSpPr>
        <xdr:cNvPr id="13" name="Rectángulo redondeado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48C6BD4-9948-4D7A-A711-53232D496475}"/>
            </a:ext>
          </a:extLst>
        </xdr:cNvPr>
        <xdr:cNvSpPr/>
      </xdr:nvSpPr>
      <xdr:spPr>
        <a:xfrm>
          <a:off x="10372725" y="2009775"/>
          <a:ext cx="2752725" cy="533400"/>
        </a:xfrm>
        <a:prstGeom prst="roundRect">
          <a:avLst/>
        </a:prstGeom>
        <a:solidFill>
          <a:schemeClr val="accent2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TOTAL</a:t>
          </a:r>
          <a:r>
            <a:rPr lang="es-ES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SECTOR</a:t>
          </a:r>
          <a:endParaRPr lang="es-ES" sz="1100"/>
        </a:p>
      </xdr:txBody>
    </xdr:sp>
    <xdr:clientData/>
  </xdr:twoCellAnchor>
  <xdr:twoCellAnchor>
    <xdr:from>
      <xdr:col>6</xdr:col>
      <xdr:colOff>285750</xdr:colOff>
      <xdr:row>16</xdr:row>
      <xdr:rowOff>161925</xdr:rowOff>
    </xdr:from>
    <xdr:to>
      <xdr:col>6</xdr:col>
      <xdr:colOff>704850</xdr:colOff>
      <xdr:row>19</xdr:row>
      <xdr:rowOff>76200</xdr:rowOff>
    </xdr:to>
    <xdr:sp macro="" textlink="">
      <xdr:nvSpPr>
        <xdr:cNvPr id="15" name="Signo más 14">
          <a:extLst>
            <a:ext uri="{FF2B5EF4-FFF2-40B4-BE49-F238E27FC236}">
              <a16:creationId xmlns:a16="http://schemas.microsoft.com/office/drawing/2014/main" id="{D96CE839-1279-431E-A067-81C5EED4BF7F}"/>
            </a:ext>
          </a:extLst>
        </xdr:cNvPr>
        <xdr:cNvSpPr/>
      </xdr:nvSpPr>
      <xdr:spPr>
        <a:xfrm>
          <a:off x="4857750" y="2066925"/>
          <a:ext cx="419100" cy="485775"/>
        </a:xfrm>
        <a:prstGeom prst="mathPlus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11</xdr:col>
      <xdr:colOff>752475</xdr:colOff>
      <xdr:row>16</xdr:row>
      <xdr:rowOff>171451</xdr:rowOff>
    </xdr:from>
    <xdr:to>
      <xdr:col>12</xdr:col>
      <xdr:colOff>581025</xdr:colOff>
      <xdr:row>19</xdr:row>
      <xdr:rowOff>38101</xdr:rowOff>
    </xdr:to>
    <xdr:sp macro="" textlink="">
      <xdr:nvSpPr>
        <xdr:cNvPr id="16" name="Es igual a 15">
          <a:extLst>
            <a:ext uri="{FF2B5EF4-FFF2-40B4-BE49-F238E27FC236}">
              <a16:creationId xmlns:a16="http://schemas.microsoft.com/office/drawing/2014/main" id="{FDAD4C12-4F47-4D55-8F8B-5A11BBBC20C1}"/>
            </a:ext>
          </a:extLst>
        </xdr:cNvPr>
        <xdr:cNvSpPr/>
      </xdr:nvSpPr>
      <xdr:spPr>
        <a:xfrm>
          <a:off x="9134475" y="2076451"/>
          <a:ext cx="590550" cy="438150"/>
        </a:xfrm>
        <a:prstGeom prst="mathEqual">
          <a:avLst/>
        </a:prstGeom>
        <a:solidFill>
          <a:schemeClr val="accent2"/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447676</xdr:colOff>
      <xdr:row>30</xdr:row>
      <xdr:rowOff>133350</xdr:rowOff>
    </xdr:from>
    <xdr:to>
      <xdr:col>3</xdr:col>
      <xdr:colOff>9526</xdr:colOff>
      <xdr:row>34</xdr:row>
      <xdr:rowOff>19050</xdr:rowOff>
    </xdr:to>
    <xdr:sp macro="" textlink="">
      <xdr:nvSpPr>
        <xdr:cNvPr id="17" name="Rectángulo redondeado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F96F298-61F2-482F-A8EF-9AC524195E36}"/>
            </a:ext>
          </a:extLst>
        </xdr:cNvPr>
        <xdr:cNvSpPr/>
      </xdr:nvSpPr>
      <xdr:spPr>
        <a:xfrm>
          <a:off x="447676" y="4705350"/>
          <a:ext cx="1847850" cy="647700"/>
        </a:xfrm>
        <a:prstGeom prst="roundRect">
          <a:avLst/>
        </a:prstGeom>
        <a:solidFill>
          <a:schemeClr val="accent6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PROYECTO</a:t>
          </a: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"TIC'S"</a:t>
          </a:r>
          <a:endParaRPr lang="es-ES" sz="1200"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447676</xdr:colOff>
      <xdr:row>35</xdr:row>
      <xdr:rowOff>47625</xdr:rowOff>
    </xdr:from>
    <xdr:to>
      <xdr:col>3</xdr:col>
      <xdr:colOff>9526</xdr:colOff>
      <xdr:row>38</xdr:row>
      <xdr:rowOff>123825</xdr:rowOff>
    </xdr:to>
    <xdr:sp macro="" textlink="">
      <xdr:nvSpPr>
        <xdr:cNvPr id="18" name="Rectángulo redondeado 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7B74373-26E3-4923-9527-42A9D166E889}"/>
            </a:ext>
          </a:extLst>
        </xdr:cNvPr>
        <xdr:cNvSpPr/>
      </xdr:nvSpPr>
      <xdr:spPr>
        <a:xfrm>
          <a:off x="447676" y="5572125"/>
          <a:ext cx="1847850" cy="647700"/>
        </a:xfrm>
        <a:prstGeom prst="roundRect">
          <a:avLst/>
        </a:prstGeom>
        <a:solidFill>
          <a:schemeClr val="accent6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PROYECTO</a:t>
          </a: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"POLÍTICAS"</a:t>
          </a:r>
          <a:endParaRPr lang="es-ES" sz="1200"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438151</xdr:colOff>
      <xdr:row>40</xdr:row>
      <xdr:rowOff>0</xdr:rowOff>
    </xdr:from>
    <xdr:to>
      <xdr:col>3</xdr:col>
      <xdr:colOff>1</xdr:colOff>
      <xdr:row>43</xdr:row>
      <xdr:rowOff>76200</xdr:rowOff>
    </xdr:to>
    <xdr:sp macro="" textlink="">
      <xdr:nvSpPr>
        <xdr:cNvPr id="19" name="Rectángulo redondeado 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D73B040-8AEC-4DE8-980B-728AB3EC7ABA}"/>
            </a:ext>
          </a:extLst>
        </xdr:cNvPr>
        <xdr:cNvSpPr/>
      </xdr:nvSpPr>
      <xdr:spPr>
        <a:xfrm>
          <a:off x="438151" y="6477000"/>
          <a:ext cx="1847850" cy="647700"/>
        </a:xfrm>
        <a:prstGeom prst="roundRect">
          <a:avLst/>
        </a:prstGeom>
        <a:solidFill>
          <a:schemeClr val="accent6"/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PROYECTO</a:t>
          </a: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"ASESORÍA"</a:t>
          </a:r>
          <a:endParaRPr lang="es-ES" sz="1200">
            <a:effectLst/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7</xdr:col>
      <xdr:colOff>333375</xdr:colOff>
      <xdr:row>8</xdr:row>
      <xdr:rowOff>142874</xdr:rowOff>
    </xdr:from>
    <xdr:to>
      <xdr:col>12</xdr:col>
      <xdr:colOff>247650</xdr:colOff>
      <xdr:row>12</xdr:row>
      <xdr:rowOff>152399</xdr:rowOff>
    </xdr:to>
    <xdr:sp macro="" textlink="">
      <xdr:nvSpPr>
        <xdr:cNvPr id="20" name="Rectángulo redondeado 2">
          <a:extLst>
            <a:ext uri="{FF2B5EF4-FFF2-40B4-BE49-F238E27FC236}">
              <a16:creationId xmlns:a16="http://schemas.microsoft.com/office/drawing/2014/main" id="{E84B965C-4B68-4D6D-92E2-0B2F4E78531A}"/>
            </a:ext>
          </a:extLst>
        </xdr:cNvPr>
        <xdr:cNvSpPr/>
      </xdr:nvSpPr>
      <xdr:spPr>
        <a:xfrm>
          <a:off x="5667375" y="1666874"/>
          <a:ext cx="3724275" cy="771525"/>
        </a:xfrm>
        <a:prstGeom prst="roundRect">
          <a:avLst/>
        </a:prstGeom>
        <a:solidFill>
          <a:schemeClr val="accent5">
            <a:lumMod val="75000"/>
          </a:schemeClr>
        </a:solidFill>
        <a:ln>
          <a:noFill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400" b="1"/>
            <a:t>TABLERO CONTROL ACUERDO</a:t>
          </a:r>
          <a:r>
            <a:rPr lang="es-ES" sz="1400" b="1" baseline="0"/>
            <a:t> DESEMPEÑO SECTOR FUNCIÓN PÚBLICA</a:t>
          </a:r>
          <a:endParaRPr lang="es-ES" sz="1400" b="1"/>
        </a:p>
      </xdr:txBody>
    </xdr:sp>
    <xdr:clientData/>
  </xdr:twoCellAnchor>
  <xdr:twoCellAnchor editAs="oneCell">
    <xdr:from>
      <xdr:col>5</xdr:col>
      <xdr:colOff>190500</xdr:colOff>
      <xdr:row>1</xdr:row>
      <xdr:rowOff>155863</xdr:rowOff>
    </xdr:from>
    <xdr:to>
      <xdr:col>14</xdr:col>
      <xdr:colOff>51955</xdr:colOff>
      <xdr:row>7</xdr:row>
      <xdr:rowOff>69272</xdr:rowOff>
    </xdr:to>
    <xdr:pic>
      <xdr:nvPicPr>
        <xdr:cNvPr id="21" name="Imagen 20" descr="../../../../../Desktop/imagen/Logo%20Funcion%20Publica/Logo%20Funcion%20Publica%20PNG/Logo%20Funcion%">
          <a:extLst>
            <a:ext uri="{FF2B5EF4-FFF2-40B4-BE49-F238E27FC236}">
              <a16:creationId xmlns:a16="http://schemas.microsoft.com/office/drawing/2014/main" id="{E93916F7-6B13-44C5-928E-249A3702C41A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46363"/>
          <a:ext cx="6719455" cy="10564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142875</xdr:rowOff>
    </xdr:from>
    <xdr:to>
      <xdr:col>13</xdr:col>
      <xdr:colOff>314325</xdr:colOff>
      <xdr:row>1</xdr:row>
      <xdr:rowOff>552450</xdr:rowOff>
    </xdr:to>
    <xdr:sp macro="[1]!FILTRO" textlink="">
      <xdr:nvSpPr>
        <xdr:cNvPr id="5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A407B0-7414-46F6-80C2-CE6A4EE5FAA5}"/>
            </a:ext>
          </a:extLst>
        </xdr:cNvPr>
        <xdr:cNvSpPr/>
      </xdr:nvSpPr>
      <xdr:spPr>
        <a:xfrm>
          <a:off x="10267950" y="333375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  <xdr:twoCellAnchor>
    <xdr:from>
      <xdr:col>7</xdr:col>
      <xdr:colOff>238129</xdr:colOff>
      <xdr:row>6</xdr:row>
      <xdr:rowOff>140074</xdr:rowOff>
    </xdr:from>
    <xdr:to>
      <xdr:col>16</xdr:col>
      <xdr:colOff>546287</xdr:colOff>
      <xdr:row>23</xdr:row>
      <xdr:rowOff>84044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955947-8360-4924-895C-F8D698E805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210110</xdr:colOff>
      <xdr:row>23</xdr:row>
      <xdr:rowOff>252131</xdr:rowOff>
    </xdr:from>
    <xdr:to>
      <xdr:col>16</xdr:col>
      <xdr:colOff>462243</xdr:colOff>
      <xdr:row>34</xdr:row>
      <xdr:rowOff>98051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61BEF19-5025-4949-A035-65444B909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152401</xdr:colOff>
      <xdr:row>9</xdr:row>
      <xdr:rowOff>157162</xdr:rowOff>
    </xdr:from>
    <xdr:to>
      <xdr:col>8</xdr:col>
      <xdr:colOff>19051</xdr:colOff>
      <xdr:row>24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17E3A9D-FE91-4DC2-8501-DAA81A3A9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66675</xdr:colOff>
      <xdr:row>9</xdr:row>
      <xdr:rowOff>152400</xdr:rowOff>
    </xdr:from>
    <xdr:to>
      <xdr:col>15</xdr:col>
      <xdr:colOff>123825</xdr:colOff>
      <xdr:row>24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F3BAE12-D3CE-4073-8756-7324816E2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76208</xdr:colOff>
      <xdr:row>8</xdr:row>
      <xdr:rowOff>40821</xdr:rowOff>
    </xdr:from>
    <xdr:to>
      <xdr:col>22</xdr:col>
      <xdr:colOff>381000</xdr:colOff>
      <xdr:row>23</xdr:row>
      <xdr:rowOff>231321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5A51C2-50B1-44D2-BD28-C9D70200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914400</xdr:colOff>
      <xdr:row>24</xdr:row>
      <xdr:rowOff>13607</xdr:rowOff>
    </xdr:from>
    <xdr:to>
      <xdr:col>21</xdr:col>
      <xdr:colOff>74832</xdr:colOff>
      <xdr:row>41</xdr:row>
      <xdr:rowOff>13607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D94218-B56E-49D4-A9A5-6B904C76D6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761999</xdr:colOff>
      <xdr:row>1</xdr:row>
      <xdr:rowOff>0</xdr:rowOff>
    </xdr:from>
    <xdr:to>
      <xdr:col>16</xdr:col>
      <xdr:colOff>219074</xdr:colOff>
      <xdr:row>3</xdr:row>
      <xdr:rowOff>28575</xdr:rowOff>
    </xdr:to>
    <xdr:sp macro="[1]!FILTRO" textlink="">
      <xdr:nvSpPr>
        <xdr:cNvPr id="4" name="Rectángulo redondead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F06B9D-C3D6-4C8E-BFFF-E60DB84C53E3}"/>
            </a:ext>
          </a:extLst>
        </xdr:cNvPr>
        <xdr:cNvSpPr/>
      </xdr:nvSpPr>
      <xdr:spPr>
        <a:xfrm>
          <a:off x="11515724" y="190500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33271</xdr:colOff>
      <xdr:row>8</xdr:row>
      <xdr:rowOff>21799</xdr:rowOff>
    </xdr:from>
    <xdr:to>
      <xdr:col>25</xdr:col>
      <xdr:colOff>704309</xdr:colOff>
      <xdr:row>23</xdr:row>
      <xdr:rowOff>21799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6F0EB56-3C75-4C45-BEE5-7BE46AF84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58538</xdr:colOff>
      <xdr:row>23</xdr:row>
      <xdr:rowOff>11979</xdr:rowOff>
    </xdr:from>
    <xdr:to>
      <xdr:col>25</xdr:col>
      <xdr:colOff>718218</xdr:colOff>
      <xdr:row>36</xdr:row>
      <xdr:rowOff>140862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D3ADC6-3B4D-45DF-BEA5-1C71D0CBC0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200024</xdr:colOff>
      <xdr:row>0</xdr:row>
      <xdr:rowOff>66675</xdr:rowOff>
    </xdr:from>
    <xdr:to>
      <xdr:col>0</xdr:col>
      <xdr:colOff>1181099</xdr:colOff>
      <xdr:row>2</xdr:row>
      <xdr:rowOff>95250</xdr:rowOff>
    </xdr:to>
    <xdr:sp macro="[1]!FILTRO" textlink="">
      <xdr:nvSpPr>
        <xdr:cNvPr id="9" name="Rectángulo redondead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6A1737-3B6B-4A57-BF8A-5E30C49ABA03}"/>
            </a:ext>
          </a:extLst>
        </xdr:cNvPr>
        <xdr:cNvSpPr/>
      </xdr:nvSpPr>
      <xdr:spPr>
        <a:xfrm>
          <a:off x="200024" y="66675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  <xdr:twoCellAnchor>
    <xdr:from>
      <xdr:col>18</xdr:col>
      <xdr:colOff>437030</xdr:colOff>
      <xdr:row>40</xdr:row>
      <xdr:rowOff>44823</xdr:rowOff>
    </xdr:from>
    <xdr:to>
      <xdr:col>26</xdr:col>
      <xdr:colOff>21098</xdr:colOff>
      <xdr:row>56</xdr:row>
      <xdr:rowOff>179294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0118928-C337-41F7-BF5A-7FB082AA9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179294</xdr:colOff>
      <xdr:row>58</xdr:row>
      <xdr:rowOff>56029</xdr:rowOff>
    </xdr:from>
    <xdr:to>
      <xdr:col>26</xdr:col>
      <xdr:colOff>76974</xdr:colOff>
      <xdr:row>74</xdr:row>
      <xdr:rowOff>184912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3B1638-CDE0-4D65-8CF4-DE08FEB07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313764</xdr:colOff>
      <xdr:row>78</xdr:row>
      <xdr:rowOff>168088</xdr:rowOff>
    </xdr:from>
    <xdr:to>
      <xdr:col>25</xdr:col>
      <xdr:colOff>603802</xdr:colOff>
      <xdr:row>95</xdr:row>
      <xdr:rowOff>112059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C86F9C9-9949-4432-A6A1-FEF3AEAF8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33616</xdr:colOff>
      <xdr:row>96</xdr:row>
      <xdr:rowOff>145676</xdr:rowOff>
    </xdr:from>
    <xdr:to>
      <xdr:col>25</xdr:col>
      <xdr:colOff>693296</xdr:colOff>
      <xdr:row>113</xdr:row>
      <xdr:rowOff>84059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D03FDFB-A9EC-4214-A49E-A41FDFA51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987899</xdr:colOff>
      <xdr:row>8</xdr:row>
      <xdr:rowOff>408215</xdr:rowOff>
    </xdr:from>
    <xdr:to>
      <xdr:col>12</xdr:col>
      <xdr:colOff>285750</xdr:colOff>
      <xdr:row>25</xdr:row>
      <xdr:rowOff>118557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80952B-C5EF-4332-BF8C-21A69C4349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1104912</xdr:colOff>
      <xdr:row>25</xdr:row>
      <xdr:rowOff>147147</xdr:rowOff>
    </xdr:from>
    <xdr:to>
      <xdr:col>12</xdr:col>
      <xdr:colOff>299357</xdr:colOff>
      <xdr:row>44</xdr:row>
      <xdr:rowOff>163286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4F5CF8-92CC-45F0-BB71-293677A7C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711501</xdr:colOff>
      <xdr:row>3</xdr:row>
      <xdr:rowOff>1361</xdr:rowOff>
    </xdr:from>
    <xdr:to>
      <xdr:col>6</xdr:col>
      <xdr:colOff>413505</xdr:colOff>
      <xdr:row>4</xdr:row>
      <xdr:rowOff>214388</xdr:rowOff>
    </xdr:to>
    <xdr:sp macro="[1]!FILTRO" textlink="">
      <xdr:nvSpPr>
        <xdr:cNvPr id="4" name="Rectángulo redondead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2D92A44-2D69-47E8-8BB8-0555C9DC51CB}"/>
            </a:ext>
          </a:extLst>
        </xdr:cNvPr>
        <xdr:cNvSpPr/>
      </xdr:nvSpPr>
      <xdr:spPr>
        <a:xfrm>
          <a:off x="9066287" y="572861"/>
          <a:ext cx="981075" cy="403527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892638</xdr:colOff>
      <xdr:row>5</xdr:row>
      <xdr:rowOff>0</xdr:rowOff>
    </xdr:from>
    <xdr:to>
      <xdr:col>35</xdr:col>
      <xdr:colOff>23057</xdr:colOff>
      <xdr:row>20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90C04F-0DC6-40F7-8836-411757F86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873580</xdr:colOff>
      <xdr:row>21</xdr:row>
      <xdr:rowOff>0</xdr:rowOff>
    </xdr:from>
    <xdr:to>
      <xdr:col>35</xdr:col>
      <xdr:colOff>3999</xdr:colOff>
      <xdr:row>34</xdr:row>
      <xdr:rowOff>119063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7D0671-DF44-4D05-832E-B03D420F35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609600</xdr:colOff>
      <xdr:row>0</xdr:row>
      <xdr:rowOff>114300</xdr:rowOff>
    </xdr:from>
    <xdr:to>
      <xdr:col>34</xdr:col>
      <xdr:colOff>66675</xdr:colOff>
      <xdr:row>2</xdr:row>
      <xdr:rowOff>142875</xdr:rowOff>
    </xdr:to>
    <xdr:sp macro="[1]!FILTRO" textlink="">
      <xdr:nvSpPr>
        <xdr:cNvPr id="4" name="Rectángulo redondead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267E5E-E7D0-43A3-855C-283A8E48A3C0}"/>
            </a:ext>
          </a:extLst>
        </xdr:cNvPr>
        <xdr:cNvSpPr/>
      </xdr:nvSpPr>
      <xdr:spPr>
        <a:xfrm>
          <a:off x="35385375" y="114300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493481</xdr:colOff>
      <xdr:row>0</xdr:row>
      <xdr:rowOff>119063</xdr:rowOff>
    </xdr:from>
    <xdr:to>
      <xdr:col>1</xdr:col>
      <xdr:colOff>1474556</xdr:colOff>
      <xdr:row>2</xdr:row>
      <xdr:rowOff>147638</xdr:rowOff>
    </xdr:to>
    <xdr:sp macro="[1]!FILTRO" textlink="">
      <xdr:nvSpPr>
        <xdr:cNvPr id="4" name="Rectángulo redonde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F665D1-C4EE-4493-A832-268D506BDDCB}"/>
            </a:ext>
          </a:extLst>
        </xdr:cNvPr>
        <xdr:cNvSpPr/>
      </xdr:nvSpPr>
      <xdr:spPr>
        <a:xfrm>
          <a:off x="1993669" y="119063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  <xdr:twoCellAnchor>
    <xdr:from>
      <xdr:col>0</xdr:col>
      <xdr:colOff>0</xdr:colOff>
      <xdr:row>47</xdr:row>
      <xdr:rowOff>86914</xdr:rowOff>
    </xdr:from>
    <xdr:to>
      <xdr:col>2</xdr:col>
      <xdr:colOff>1678781</xdr:colOff>
      <xdr:row>61</xdr:row>
      <xdr:rowOff>163114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3374E1-5F75-4C4F-A82A-9BD6A5768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220265</xdr:colOff>
      <xdr:row>46</xdr:row>
      <xdr:rowOff>146445</xdr:rowOff>
    </xdr:from>
    <xdr:to>
      <xdr:col>7</xdr:col>
      <xdr:colOff>47625</xdr:colOff>
      <xdr:row>62</xdr:row>
      <xdr:rowOff>178592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D9268B-3684-454B-9F0C-6AF0FED0BA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10</xdr:row>
      <xdr:rowOff>130969</xdr:rowOff>
    </xdr:from>
    <xdr:to>
      <xdr:col>13</xdr:col>
      <xdr:colOff>202406</xdr:colOff>
      <xdr:row>23</xdr:row>
      <xdr:rowOff>76201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2DEC3D4-3E4F-448D-889E-43D5F0D34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672702</xdr:colOff>
      <xdr:row>26</xdr:row>
      <xdr:rowOff>178594</xdr:rowOff>
    </xdr:from>
    <xdr:to>
      <xdr:col>13</xdr:col>
      <xdr:colOff>107156</xdr:colOff>
      <xdr:row>40</xdr:row>
      <xdr:rowOff>20241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0EC5CC9-29AB-4BD7-A142-1C08CE85B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146082</xdr:colOff>
      <xdr:row>5</xdr:row>
      <xdr:rowOff>166688</xdr:rowOff>
    </xdr:from>
    <xdr:to>
      <xdr:col>15</xdr:col>
      <xdr:colOff>539306</xdr:colOff>
      <xdr:row>18</xdr:row>
      <xdr:rowOff>9526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8C1E94-E1B2-4861-9AB3-E8D12B878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193705</xdr:colOff>
      <xdr:row>19</xdr:row>
      <xdr:rowOff>19050</xdr:rowOff>
    </xdr:from>
    <xdr:to>
      <xdr:col>15</xdr:col>
      <xdr:colOff>742283</xdr:colOff>
      <xdr:row>32</xdr:row>
      <xdr:rowOff>176213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679B2C-74AC-4F16-BC38-785BE0895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168088</xdr:colOff>
      <xdr:row>0</xdr:row>
      <xdr:rowOff>134470</xdr:rowOff>
    </xdr:from>
    <xdr:to>
      <xdr:col>8</xdr:col>
      <xdr:colOff>1149163</xdr:colOff>
      <xdr:row>1</xdr:row>
      <xdr:rowOff>353545</xdr:rowOff>
    </xdr:to>
    <xdr:sp macro="[1]!FILTRO" textlink="">
      <xdr:nvSpPr>
        <xdr:cNvPr id="4" name="Rectángulo redondead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B5EB9F-A9DF-4D61-9801-5D3915B2093F}"/>
            </a:ext>
          </a:extLst>
        </xdr:cNvPr>
        <xdr:cNvSpPr/>
      </xdr:nvSpPr>
      <xdr:spPr>
        <a:xfrm>
          <a:off x="8169088" y="134470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283178</xdr:colOff>
      <xdr:row>6</xdr:row>
      <xdr:rowOff>192429</xdr:rowOff>
    </xdr:from>
    <xdr:to>
      <xdr:col>15</xdr:col>
      <xdr:colOff>302895</xdr:colOff>
      <xdr:row>17</xdr:row>
      <xdr:rowOff>175739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495C8A-A1F6-4927-942A-A12AB6FD4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952501</xdr:colOff>
      <xdr:row>18</xdr:row>
      <xdr:rowOff>186381</xdr:rowOff>
    </xdr:from>
    <xdr:to>
      <xdr:col>15</xdr:col>
      <xdr:colOff>257431</xdr:colOff>
      <xdr:row>30</xdr:row>
      <xdr:rowOff>110327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0BE293-4385-4BF2-AEF6-2540630EB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219075</xdr:colOff>
      <xdr:row>1</xdr:row>
      <xdr:rowOff>409575</xdr:rowOff>
    </xdr:to>
    <xdr:sp macro="[1]!FILTRO" textlink="">
      <xdr:nvSpPr>
        <xdr:cNvPr id="4" name="Rectángulo redondeado 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8C7947-165E-4426-8E7E-D66E5194BEFD}"/>
            </a:ext>
          </a:extLst>
        </xdr:cNvPr>
        <xdr:cNvSpPr/>
      </xdr:nvSpPr>
      <xdr:spPr>
        <a:xfrm>
          <a:off x="11525250" y="190500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58657</xdr:colOff>
      <xdr:row>5</xdr:row>
      <xdr:rowOff>166686</xdr:rowOff>
    </xdr:from>
    <xdr:to>
      <xdr:col>13</xdr:col>
      <xdr:colOff>401051</xdr:colOff>
      <xdr:row>17</xdr:row>
      <xdr:rowOff>190499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34A5B9-8D7B-4FDC-BF01-F8099B9E1E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219075</xdr:colOff>
      <xdr:row>1</xdr:row>
      <xdr:rowOff>409575</xdr:rowOff>
    </xdr:to>
    <xdr:sp macro="[1]!FILTRO" textlink="">
      <xdr:nvSpPr>
        <xdr:cNvPr id="4" name="Rectángulo redondead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9EA3833-36BB-40C4-BED3-52D4F4D55AD6}"/>
            </a:ext>
          </a:extLst>
        </xdr:cNvPr>
        <xdr:cNvSpPr/>
      </xdr:nvSpPr>
      <xdr:spPr>
        <a:xfrm>
          <a:off x="10220325" y="190500"/>
          <a:ext cx="981075" cy="409575"/>
        </a:xfrm>
        <a:prstGeom prst="roundRect">
          <a:avLst/>
        </a:prstGeom>
        <a:gradFill flip="none" rotWithShape="1">
          <a:gsLst>
            <a:gs pos="0">
              <a:schemeClr val="accent2">
                <a:lumMod val="67000"/>
              </a:schemeClr>
            </a:gs>
            <a:gs pos="48000">
              <a:schemeClr val="accent2">
                <a:lumMod val="97000"/>
                <a:lumOff val="3000"/>
              </a:schemeClr>
            </a:gs>
            <a:gs pos="100000">
              <a:schemeClr val="accent2">
                <a:lumMod val="60000"/>
                <a:lumOff val="40000"/>
              </a:schemeClr>
            </a:gs>
          </a:gsLst>
          <a:lin ang="16200000" scaled="1"/>
          <a:tileRect/>
        </a:gra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bg1"/>
              </a:solidFill>
            </a:rPr>
            <a:t>MENÚ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15</xdr:col>
      <xdr:colOff>481263</xdr:colOff>
      <xdr:row>34</xdr:row>
      <xdr:rowOff>154155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51C3C2A-40F9-43FD-8810-04CA3D814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uncionpublicagovco-my.sharepoint.com/omateus/Mis%20documentos/DAFP/2018/INVERSION%202018/ENVIADOS/FEBRERO%202018/INFORME%20INVERSION%202018%20-%20FEBRER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RESUMEN"/>
      <sheetName val="REPORTE SIIF"/>
      <sheetName val="EJECUCION"/>
      <sheetName val="FILTRO"/>
      <sheetName val="CONSOLIDADO"/>
      <sheetName val="CDP"/>
      <sheetName val="Hoja1"/>
      <sheetName val="COMPROMISO"/>
      <sheetName val="OBLIGACION"/>
      <sheetName val="PAGOS"/>
      <sheetName val="DATOS INICIALES"/>
      <sheetName val="Hoja3"/>
      <sheetName val="Hoja2"/>
      <sheetName val="INFORME INVERSION 2018 - FEBRER"/>
    </sheetNames>
    <definedNames>
      <definedName name="FILTRO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77907-D714-4944-8328-CB99C7D51ADD}">
  <sheetPr>
    <tabColor rgb="FFC00000"/>
  </sheetPr>
  <dimension ref="A15"/>
  <sheetViews>
    <sheetView topLeftCell="A14" zoomScale="55" zoomScaleNormal="55" workbookViewId="0">
      <selection activeCell="A17" sqref="A17"/>
    </sheetView>
  </sheetViews>
  <sheetFormatPr baseColWidth="10" defaultColWidth="11.42578125" defaultRowHeight="15" x14ac:dyDescent="0.25"/>
  <cols>
    <col min="1" max="16384" width="11.42578125" style="2"/>
  </cols>
  <sheetData>
    <row r="15" ht="14.25" customHeigh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FBA28-3CBA-487C-BDBD-631CB00D384F}">
  <sheetPr>
    <tabColor theme="9"/>
  </sheetPr>
  <dimension ref="A2:L37"/>
  <sheetViews>
    <sheetView zoomScale="68" zoomScaleNormal="100" workbookViewId="0">
      <selection activeCell="M36" sqref="M36"/>
    </sheetView>
  </sheetViews>
  <sheetFormatPr baseColWidth="10" defaultColWidth="11.42578125" defaultRowHeight="15" x14ac:dyDescent="0.25"/>
  <cols>
    <col min="1" max="1" width="22.42578125" style="2" customWidth="1"/>
    <col min="2" max="2" width="41.42578125" style="2" customWidth="1"/>
    <col min="3" max="3" width="24.5703125" style="2" bestFit="1" customWidth="1"/>
    <col min="4" max="4" width="26.140625" style="2" hidden="1" customWidth="1"/>
    <col min="5" max="5" width="29.140625" style="2" bestFit="1" customWidth="1"/>
    <col min="6" max="6" width="35.42578125" style="2" bestFit="1" customWidth="1"/>
    <col min="7" max="7" width="20.5703125" style="2" hidden="1" customWidth="1"/>
    <col min="8" max="8" width="16.140625" style="2" bestFit="1" customWidth="1"/>
    <col min="9" max="9" width="14.140625" style="2" customWidth="1"/>
    <col min="10" max="10" width="11.42578125" style="2"/>
    <col min="11" max="11" width="14.85546875" style="2" customWidth="1"/>
    <col min="12" max="12" width="14.7109375" style="2" customWidth="1"/>
    <col min="13" max="16384" width="11.42578125" style="2"/>
  </cols>
  <sheetData>
    <row r="2" spans="1:12" ht="60" customHeight="1" x14ac:dyDescent="0.25">
      <c r="A2" s="158" t="s">
        <v>48</v>
      </c>
      <c r="B2" s="160">
        <v>2018011000793</v>
      </c>
      <c r="C2" s="199" t="s">
        <v>52</v>
      </c>
      <c r="D2" s="199"/>
      <c r="E2" s="199"/>
      <c r="F2" s="199"/>
      <c r="G2" s="159"/>
      <c r="J2" s="179" t="s">
        <v>2</v>
      </c>
      <c r="K2" s="180"/>
      <c r="L2" s="181"/>
    </row>
    <row r="3" spans="1:12" x14ac:dyDescent="0.25">
      <c r="A3" s="39" t="s">
        <v>0</v>
      </c>
      <c r="B3" s="19">
        <v>1260000000</v>
      </c>
      <c r="C3" s="199"/>
      <c r="D3" s="199"/>
      <c r="E3" s="199"/>
      <c r="F3" s="199"/>
      <c r="G3" s="159"/>
      <c r="J3" s="182"/>
      <c r="K3" s="183"/>
      <c r="L3" s="184"/>
    </row>
    <row r="4" spans="1:12" ht="30" x14ac:dyDescent="0.25">
      <c r="A4" s="40" t="s">
        <v>3</v>
      </c>
      <c r="B4" s="20"/>
      <c r="C4" s="199"/>
      <c r="D4" s="199"/>
      <c r="E4" s="199"/>
      <c r="F4" s="199"/>
      <c r="G4" s="159"/>
      <c r="J4" s="18" t="s">
        <v>5</v>
      </c>
      <c r="K4" s="45" t="s">
        <v>6</v>
      </c>
      <c r="L4" s="45" t="s">
        <v>7</v>
      </c>
    </row>
    <row r="5" spans="1:12" x14ac:dyDescent="0.25">
      <c r="A5" s="41" t="s">
        <v>4</v>
      </c>
      <c r="B5" s="42">
        <f>B3-B4</f>
        <v>1260000000</v>
      </c>
      <c r="C5" s="200"/>
      <c r="D5" s="201"/>
      <c r="E5" s="201"/>
      <c r="F5" s="202"/>
      <c r="G5" s="22"/>
      <c r="J5" s="46" t="s">
        <v>19</v>
      </c>
      <c r="K5" s="47">
        <f>VLOOKUP($J$5,A26:G37,4,0)*(-1)</f>
        <v>0.73432555555555556</v>
      </c>
      <c r="L5" s="47">
        <f>VLOOKUP($J$5,A26:G37,7,0)*(-1)</f>
        <v>2.1995695238095237E-2</v>
      </c>
    </row>
    <row r="6" spans="1:12" ht="15" customHeight="1" x14ac:dyDescent="0.25">
      <c r="A6" s="197"/>
      <c r="B6" s="198"/>
      <c r="C6" s="198"/>
      <c r="D6" s="198"/>
      <c r="E6" s="198"/>
      <c r="F6" s="198"/>
      <c r="G6" s="159"/>
    </row>
    <row r="7" spans="1:12" ht="30" x14ac:dyDescent="0.25">
      <c r="A7" s="43"/>
      <c r="B7" s="48" t="s">
        <v>38</v>
      </c>
      <c r="C7" s="44" t="s">
        <v>39</v>
      </c>
      <c r="D7" s="44"/>
      <c r="E7" s="48" t="s">
        <v>40</v>
      </c>
      <c r="F7" s="44" t="s">
        <v>41</v>
      </c>
      <c r="G7" s="23"/>
    </row>
    <row r="9" spans="1:12" ht="40.5" customHeight="1" x14ac:dyDescent="0.25">
      <c r="A9" s="27" t="s">
        <v>13</v>
      </c>
      <c r="B9" s="28">
        <f>SUBTOTAL(9,B10:B21)</f>
        <v>1260000000</v>
      </c>
      <c r="C9" s="29">
        <f t="shared" ref="C9" si="0">SUBTOTAL(9,C10:C21)</f>
        <v>0</v>
      </c>
      <c r="D9" s="29"/>
      <c r="E9" s="28">
        <f>SUBTOTAL(9,E10:E21)</f>
        <v>1259999999</v>
      </c>
      <c r="F9" s="29">
        <f t="shared" ref="F9:G9" si="1">SUBTOTAL(9,F10:F21)</f>
        <v>0</v>
      </c>
      <c r="G9" s="28">
        <f t="shared" si="1"/>
        <v>0</v>
      </c>
      <c r="H9" s="94"/>
      <c r="I9" s="94"/>
    </row>
    <row r="10" spans="1:12" x14ac:dyDescent="0.25">
      <c r="A10" s="30" t="s">
        <v>14</v>
      </c>
      <c r="B10" s="31">
        <v>27714577</v>
      </c>
      <c r="C10" s="31">
        <v>0</v>
      </c>
      <c r="D10" s="31"/>
      <c r="E10" s="31">
        <v>0</v>
      </c>
      <c r="F10" s="31">
        <v>0</v>
      </c>
      <c r="G10" s="24"/>
      <c r="H10" s="10"/>
      <c r="I10" s="10"/>
    </row>
    <row r="11" spans="1:12" x14ac:dyDescent="0.25">
      <c r="A11" s="30" t="s">
        <v>15</v>
      </c>
      <c r="B11" s="31">
        <v>0</v>
      </c>
      <c r="C11" s="31">
        <v>0</v>
      </c>
      <c r="D11" s="31"/>
      <c r="E11" s="31">
        <v>27714576</v>
      </c>
      <c r="F11" s="31">
        <v>0</v>
      </c>
      <c r="G11" s="24"/>
      <c r="H11" s="10"/>
      <c r="I11" s="10"/>
    </row>
    <row r="12" spans="1:12" x14ac:dyDescent="0.25">
      <c r="A12" s="30" t="s">
        <v>16</v>
      </c>
      <c r="B12" s="31">
        <v>0</v>
      </c>
      <c r="C12" s="31">
        <v>0</v>
      </c>
      <c r="D12" s="31"/>
      <c r="E12" s="31">
        <v>0</v>
      </c>
      <c r="F12" s="31">
        <v>0</v>
      </c>
      <c r="G12" s="24"/>
      <c r="H12" s="10"/>
      <c r="I12" s="10"/>
    </row>
    <row r="13" spans="1:12" x14ac:dyDescent="0.25">
      <c r="A13" s="30" t="s">
        <v>17</v>
      </c>
      <c r="B13" s="31">
        <v>0</v>
      </c>
      <c r="C13" s="31">
        <v>0</v>
      </c>
      <c r="D13" s="31"/>
      <c r="E13" s="31">
        <v>0</v>
      </c>
      <c r="F13" s="31">
        <v>0</v>
      </c>
      <c r="G13" s="24"/>
      <c r="H13" s="10"/>
      <c r="I13" s="10"/>
    </row>
    <row r="14" spans="1:12" x14ac:dyDescent="0.25">
      <c r="A14" s="30" t="s">
        <v>12</v>
      </c>
      <c r="B14" s="31">
        <v>2335623</v>
      </c>
      <c r="C14" s="31">
        <v>0</v>
      </c>
      <c r="D14" s="31"/>
      <c r="E14" s="31">
        <v>0</v>
      </c>
      <c r="F14" s="31">
        <v>0</v>
      </c>
      <c r="G14" s="24"/>
      <c r="H14" s="10"/>
      <c r="I14" s="10"/>
    </row>
    <row r="15" spans="1:12" x14ac:dyDescent="0.25">
      <c r="A15" s="30" t="s">
        <v>18</v>
      </c>
      <c r="B15" s="31">
        <v>895200000</v>
      </c>
      <c r="C15" s="31">
        <v>0</v>
      </c>
      <c r="D15" s="31"/>
      <c r="E15" s="31">
        <v>0</v>
      </c>
      <c r="F15" s="31">
        <v>0</v>
      </c>
      <c r="G15" s="24"/>
      <c r="H15" s="10"/>
      <c r="I15" s="10"/>
    </row>
    <row r="16" spans="1:12" x14ac:dyDescent="0.25">
      <c r="A16" s="30" t="s">
        <v>19</v>
      </c>
      <c r="B16" s="31">
        <v>0</v>
      </c>
      <c r="C16" s="31">
        <v>0</v>
      </c>
      <c r="D16" s="31"/>
      <c r="E16" s="31">
        <v>0</v>
      </c>
      <c r="F16" s="31">
        <v>0</v>
      </c>
      <c r="G16" s="24"/>
      <c r="H16" s="10"/>
      <c r="I16" s="10"/>
    </row>
    <row r="17" spans="1:9" x14ac:dyDescent="0.25">
      <c r="A17" s="30" t="s">
        <v>20</v>
      </c>
      <c r="B17" s="31">
        <v>334749800</v>
      </c>
      <c r="C17" s="31">
        <v>0</v>
      </c>
      <c r="D17" s="31"/>
      <c r="E17" s="31">
        <v>2335623</v>
      </c>
      <c r="F17" s="31">
        <v>0</v>
      </c>
      <c r="G17" s="24"/>
      <c r="H17" s="10"/>
      <c r="I17" s="10"/>
    </row>
    <row r="18" spans="1:9" x14ac:dyDescent="0.25">
      <c r="A18" s="30" t="s">
        <v>21</v>
      </c>
      <c r="B18" s="31">
        <v>0</v>
      </c>
      <c r="C18" s="31">
        <v>0</v>
      </c>
      <c r="D18" s="31"/>
      <c r="E18" s="31"/>
      <c r="F18" s="31">
        <v>0</v>
      </c>
      <c r="G18" s="24"/>
      <c r="H18" s="10"/>
      <c r="I18" s="10"/>
    </row>
    <row r="19" spans="1:9" x14ac:dyDescent="0.25">
      <c r="A19" s="30" t="s">
        <v>22</v>
      </c>
      <c r="B19" s="31">
        <v>0</v>
      </c>
      <c r="C19" s="31">
        <v>0</v>
      </c>
      <c r="D19" s="31"/>
      <c r="E19" s="31">
        <v>288000000</v>
      </c>
      <c r="F19" s="31">
        <v>0</v>
      </c>
      <c r="G19" s="24"/>
      <c r="H19" s="10"/>
      <c r="I19" s="10"/>
    </row>
    <row r="20" spans="1:9" x14ac:dyDescent="0.25">
      <c r="A20" s="30" t="s">
        <v>23</v>
      </c>
      <c r="B20" s="31">
        <v>0</v>
      </c>
      <c r="C20" s="31">
        <v>0</v>
      </c>
      <c r="D20" s="31"/>
      <c r="E20" s="31">
        <v>941949800</v>
      </c>
      <c r="F20" s="31">
        <v>0</v>
      </c>
      <c r="G20" s="24"/>
      <c r="H20" s="10"/>
      <c r="I20" s="10"/>
    </row>
    <row r="21" spans="1:9" x14ac:dyDescent="0.25">
      <c r="A21" s="30" t="s">
        <v>24</v>
      </c>
      <c r="B21" s="31">
        <v>0</v>
      </c>
      <c r="C21" s="31">
        <v>0</v>
      </c>
      <c r="D21" s="31"/>
      <c r="E21" s="31"/>
      <c r="F21" s="31">
        <v>0</v>
      </c>
      <c r="G21" s="24"/>
      <c r="H21" s="10"/>
      <c r="I21" s="10"/>
    </row>
    <row r="22" spans="1:9" x14ac:dyDescent="0.25">
      <c r="A22" s="49"/>
      <c r="B22" s="50"/>
      <c r="C22" s="122"/>
      <c r="D22" s="50"/>
      <c r="E22" s="101"/>
      <c r="F22" s="101"/>
      <c r="G22" s="24"/>
      <c r="H22" s="101"/>
      <c r="I22" s="101"/>
    </row>
    <row r="23" spans="1:9" x14ac:dyDescent="0.25">
      <c r="A23" s="49"/>
      <c r="B23" s="50"/>
      <c r="C23" s="122"/>
      <c r="D23" s="50"/>
      <c r="E23" s="50"/>
      <c r="F23" s="50"/>
      <c r="G23" s="24"/>
      <c r="H23" s="10"/>
      <c r="I23" s="10"/>
    </row>
    <row r="24" spans="1:9" ht="30" x14ac:dyDescent="0.25">
      <c r="A24" s="33" t="s">
        <v>25</v>
      </c>
      <c r="B24" s="35">
        <f>SUM(B10:B21)/B5</f>
        <v>1</v>
      </c>
      <c r="C24" s="34">
        <f>SUM(C10:C21)/B5</f>
        <v>0</v>
      </c>
      <c r="D24" s="34">
        <f>C24-B24</f>
        <v>-1</v>
      </c>
      <c r="E24" s="35">
        <f>SUM(E10:E21)/B5</f>
        <v>0.99999999920634919</v>
      </c>
      <c r="F24" s="34">
        <f>SUM(F10:F21)/B5</f>
        <v>0</v>
      </c>
      <c r="G24" s="32">
        <f>F24-E24</f>
        <v>-0.99999999920634919</v>
      </c>
    </row>
    <row r="25" spans="1:9" ht="30" x14ac:dyDescent="0.25">
      <c r="A25" s="33"/>
      <c r="B25" s="48" t="s">
        <v>38</v>
      </c>
      <c r="C25" s="44" t="s">
        <v>39</v>
      </c>
      <c r="D25" s="44"/>
      <c r="E25" s="48" t="s">
        <v>40</v>
      </c>
      <c r="F25" s="44" t="s">
        <v>41</v>
      </c>
      <c r="G25" s="25"/>
    </row>
    <row r="26" spans="1:9" x14ac:dyDescent="0.25">
      <c r="A26" s="36" t="s">
        <v>14</v>
      </c>
      <c r="B26" s="37">
        <f>(B10/$B$5)</f>
        <v>2.1995696031746031E-2</v>
      </c>
      <c r="C26" s="37">
        <f>(C10/$B$5)</f>
        <v>0</v>
      </c>
      <c r="D26" s="37">
        <f>C26-B26</f>
        <v>-2.1995696031746031E-2</v>
      </c>
      <c r="E26" s="37">
        <f>(E10/$B$5)</f>
        <v>0</v>
      </c>
      <c r="F26" s="37">
        <f>(F10/$B$5)</f>
        <v>0</v>
      </c>
      <c r="G26" s="26">
        <f>F26-E26</f>
        <v>0</v>
      </c>
    </row>
    <row r="27" spans="1:9" x14ac:dyDescent="0.25">
      <c r="A27" s="36" t="s">
        <v>15</v>
      </c>
      <c r="B27" s="37">
        <f t="shared" ref="B27:B37" si="2">(B11/$B$5)+B26</f>
        <v>2.1995696031746031E-2</v>
      </c>
      <c r="C27" s="37">
        <f t="shared" ref="C27:C37" si="3">(C11/$B$5)+C26</f>
        <v>0</v>
      </c>
      <c r="D27" s="37">
        <f t="shared" ref="D27:D37" si="4">C27-B27</f>
        <v>-2.1995696031746031E-2</v>
      </c>
      <c r="E27" s="37">
        <f t="shared" ref="E27:E37" si="5">(E11/$B$5)+E26</f>
        <v>2.1995695238095237E-2</v>
      </c>
      <c r="F27" s="37">
        <f t="shared" ref="F27:F37" si="6">(F11/$B$5)+F26</f>
        <v>0</v>
      </c>
      <c r="G27" s="26">
        <f t="shared" ref="G27:G37" si="7">F27-E27</f>
        <v>-2.1995695238095237E-2</v>
      </c>
    </row>
    <row r="28" spans="1:9" x14ac:dyDescent="0.25">
      <c r="A28" s="36" t="s">
        <v>16</v>
      </c>
      <c r="B28" s="37">
        <f t="shared" si="2"/>
        <v>2.1995696031746031E-2</v>
      </c>
      <c r="C28" s="37">
        <f t="shared" si="3"/>
        <v>0</v>
      </c>
      <c r="D28" s="37">
        <f t="shared" si="4"/>
        <v>-2.1995696031746031E-2</v>
      </c>
      <c r="E28" s="37">
        <f t="shared" si="5"/>
        <v>2.1995695238095237E-2</v>
      </c>
      <c r="F28" s="37">
        <f t="shared" si="6"/>
        <v>0</v>
      </c>
      <c r="G28" s="26">
        <f t="shared" si="7"/>
        <v>-2.1995695238095237E-2</v>
      </c>
    </row>
    <row r="29" spans="1:9" x14ac:dyDescent="0.25">
      <c r="A29" s="36" t="s">
        <v>17</v>
      </c>
      <c r="B29" s="37">
        <f t="shared" si="2"/>
        <v>2.1995696031746031E-2</v>
      </c>
      <c r="C29" s="37">
        <f t="shared" si="3"/>
        <v>0</v>
      </c>
      <c r="D29" s="37">
        <f t="shared" si="4"/>
        <v>-2.1995696031746031E-2</v>
      </c>
      <c r="E29" s="37">
        <f t="shared" si="5"/>
        <v>2.1995695238095237E-2</v>
      </c>
      <c r="F29" s="37">
        <f t="shared" si="6"/>
        <v>0</v>
      </c>
      <c r="G29" s="26">
        <f t="shared" si="7"/>
        <v>-2.1995695238095237E-2</v>
      </c>
    </row>
    <row r="30" spans="1:9" x14ac:dyDescent="0.25">
      <c r="A30" s="36" t="s">
        <v>12</v>
      </c>
      <c r="B30" s="37">
        <f t="shared" si="2"/>
        <v>2.3849365079365078E-2</v>
      </c>
      <c r="C30" s="37">
        <f t="shared" si="3"/>
        <v>0</v>
      </c>
      <c r="D30" s="37">
        <f t="shared" si="4"/>
        <v>-2.3849365079365078E-2</v>
      </c>
      <c r="E30" s="37">
        <f t="shared" si="5"/>
        <v>2.1995695238095237E-2</v>
      </c>
      <c r="F30" s="37">
        <f t="shared" si="6"/>
        <v>0</v>
      </c>
      <c r="G30" s="26">
        <f t="shared" si="7"/>
        <v>-2.1995695238095237E-2</v>
      </c>
    </row>
    <row r="31" spans="1:9" x14ac:dyDescent="0.25">
      <c r="A31" s="36" t="s">
        <v>18</v>
      </c>
      <c r="B31" s="37">
        <f t="shared" si="2"/>
        <v>0.73432555555555556</v>
      </c>
      <c r="C31" s="37">
        <f t="shared" si="3"/>
        <v>0</v>
      </c>
      <c r="D31" s="38">
        <f t="shared" si="4"/>
        <v>-0.73432555555555556</v>
      </c>
      <c r="E31" s="37">
        <f t="shared" si="5"/>
        <v>2.1995695238095237E-2</v>
      </c>
      <c r="F31" s="37">
        <f t="shared" si="6"/>
        <v>0</v>
      </c>
      <c r="G31" s="26">
        <f t="shared" si="7"/>
        <v>-2.1995695238095237E-2</v>
      </c>
    </row>
    <row r="32" spans="1:9" x14ac:dyDescent="0.25">
      <c r="A32" s="36" t="s">
        <v>19</v>
      </c>
      <c r="B32" s="37">
        <f t="shared" si="2"/>
        <v>0.73432555555555556</v>
      </c>
      <c r="C32" s="37">
        <f t="shared" si="3"/>
        <v>0</v>
      </c>
      <c r="D32" s="37">
        <f t="shared" si="4"/>
        <v>-0.73432555555555556</v>
      </c>
      <c r="E32" s="37">
        <f t="shared" si="5"/>
        <v>2.1995695238095237E-2</v>
      </c>
      <c r="F32" s="37">
        <f t="shared" si="6"/>
        <v>0</v>
      </c>
      <c r="G32" s="26">
        <f t="shared" si="7"/>
        <v>-2.1995695238095237E-2</v>
      </c>
    </row>
    <row r="33" spans="1:7" x14ac:dyDescent="0.25">
      <c r="A33" s="36" t="s">
        <v>20</v>
      </c>
      <c r="B33" s="37">
        <f t="shared" si="2"/>
        <v>1</v>
      </c>
      <c r="C33" s="37">
        <f t="shared" si="3"/>
        <v>0</v>
      </c>
      <c r="D33" s="37">
        <f t="shared" si="4"/>
        <v>-1</v>
      </c>
      <c r="E33" s="37">
        <f t="shared" si="5"/>
        <v>2.3849364285714283E-2</v>
      </c>
      <c r="F33" s="37">
        <f t="shared" si="6"/>
        <v>0</v>
      </c>
      <c r="G33" s="26">
        <f t="shared" si="7"/>
        <v>-2.3849364285714283E-2</v>
      </c>
    </row>
    <row r="34" spans="1:7" x14ac:dyDescent="0.25">
      <c r="A34" s="36" t="s">
        <v>21</v>
      </c>
      <c r="B34" s="37">
        <f t="shared" si="2"/>
        <v>1</v>
      </c>
      <c r="C34" s="37">
        <f t="shared" si="3"/>
        <v>0</v>
      </c>
      <c r="D34" s="37">
        <f t="shared" si="4"/>
        <v>-1</v>
      </c>
      <c r="E34" s="37">
        <f t="shared" si="5"/>
        <v>2.3849364285714283E-2</v>
      </c>
      <c r="F34" s="37">
        <f t="shared" si="6"/>
        <v>0</v>
      </c>
      <c r="G34" s="26">
        <f t="shared" si="7"/>
        <v>-2.3849364285714283E-2</v>
      </c>
    </row>
    <row r="35" spans="1:7" x14ac:dyDescent="0.25">
      <c r="A35" s="36" t="s">
        <v>22</v>
      </c>
      <c r="B35" s="37">
        <f t="shared" si="2"/>
        <v>1</v>
      </c>
      <c r="C35" s="37">
        <f t="shared" si="3"/>
        <v>0</v>
      </c>
      <c r="D35" s="37">
        <f t="shared" si="4"/>
        <v>-1</v>
      </c>
      <c r="E35" s="37">
        <f t="shared" si="5"/>
        <v>0.25242079285714286</v>
      </c>
      <c r="F35" s="37">
        <f t="shared" si="6"/>
        <v>0</v>
      </c>
      <c r="G35" s="26">
        <f t="shared" si="7"/>
        <v>-0.25242079285714286</v>
      </c>
    </row>
    <row r="36" spans="1:7" x14ac:dyDescent="0.25">
      <c r="A36" s="36" t="s">
        <v>23</v>
      </c>
      <c r="B36" s="37">
        <f t="shared" si="2"/>
        <v>1</v>
      </c>
      <c r="C36" s="37">
        <f t="shared" si="3"/>
        <v>0</v>
      </c>
      <c r="D36" s="37">
        <f t="shared" si="4"/>
        <v>-1</v>
      </c>
      <c r="E36" s="37">
        <f t="shared" si="5"/>
        <v>0.9999999992063493</v>
      </c>
      <c r="F36" s="37">
        <f t="shared" si="6"/>
        <v>0</v>
      </c>
      <c r="G36" s="26">
        <f t="shared" si="7"/>
        <v>-0.9999999992063493</v>
      </c>
    </row>
    <row r="37" spans="1:7" x14ac:dyDescent="0.25">
      <c r="A37" s="36" t="s">
        <v>24</v>
      </c>
      <c r="B37" s="37">
        <f t="shared" si="2"/>
        <v>1</v>
      </c>
      <c r="C37" s="37">
        <f t="shared" si="3"/>
        <v>0</v>
      </c>
      <c r="D37" s="37">
        <f t="shared" si="4"/>
        <v>-1</v>
      </c>
      <c r="E37" s="37">
        <f t="shared" si="5"/>
        <v>0.9999999992063493</v>
      </c>
      <c r="F37" s="37">
        <f t="shared" si="6"/>
        <v>0</v>
      </c>
      <c r="G37" s="26">
        <f t="shared" si="7"/>
        <v>-0.9999999992063493</v>
      </c>
    </row>
  </sheetData>
  <autoFilter ref="A9:C21" xr:uid="{BCFEA520-E69F-4754-ACE4-D3BAE6CE80D5}"/>
  <mergeCells count="4">
    <mergeCell ref="A6:F6"/>
    <mergeCell ref="C2:F4"/>
    <mergeCell ref="J2:L3"/>
    <mergeCell ref="C5:F5"/>
  </mergeCells>
  <conditionalFormatting sqref="K5">
    <cfRule type="cellIs" dxfId="11" priority="6" operator="lessThan">
      <formula>0.0298</formula>
    </cfRule>
    <cfRule type="cellIs" dxfId="10" priority="7" operator="between">
      <formula>0.0299</formula>
      <formula>0.0599</formula>
    </cfRule>
    <cfRule type="cellIs" dxfId="9" priority="11" operator="greaterThan">
      <formula>0.06</formula>
    </cfRule>
  </conditionalFormatting>
  <conditionalFormatting sqref="L5">
    <cfRule type="cellIs" dxfId="8" priority="1" operator="lessThan">
      <formula>0.0298</formula>
    </cfRule>
    <cfRule type="cellIs" dxfId="7" priority="2" operator="between">
      <formula>0.0299</formula>
      <formula>0.0599</formula>
    </cfRule>
    <cfRule type="cellIs" dxfId="6" priority="3" operator="greaterThan">
      <formula>0.06</formula>
    </cfRule>
  </conditionalFormatting>
  <dataValidations count="1">
    <dataValidation type="list" allowBlank="1" showInputMessage="1" showErrorMessage="1" sqref="J5" xr:uid="{1FA5B9D9-5648-4172-9072-D7B32D23F863}">
      <formula1>$A$10:$A$21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12FE9-6FE4-4B75-B5B5-D656D1684F60}">
  <dimension ref="B2:I8"/>
  <sheetViews>
    <sheetView showGridLines="0" workbookViewId="0">
      <selection activeCell="A12" sqref="A12"/>
    </sheetView>
  </sheetViews>
  <sheetFormatPr baseColWidth="10" defaultColWidth="11.42578125" defaultRowHeight="15" x14ac:dyDescent="0.25"/>
  <cols>
    <col min="3" max="3" width="16.140625" bestFit="1" customWidth="1"/>
  </cols>
  <sheetData>
    <row r="2" spans="2:9" x14ac:dyDescent="0.25">
      <c r="B2" s="80"/>
      <c r="C2" s="203" t="s">
        <v>53</v>
      </c>
      <c r="D2" s="204" t="s">
        <v>54</v>
      </c>
      <c r="E2" s="205"/>
      <c r="F2" s="206"/>
      <c r="G2" s="207" t="s">
        <v>7</v>
      </c>
      <c r="H2" s="207"/>
      <c r="I2" s="207"/>
    </row>
    <row r="3" spans="2:9" ht="38.25" x14ac:dyDescent="0.25">
      <c r="B3" s="80"/>
      <c r="C3" s="203"/>
      <c r="D3" s="88" t="s">
        <v>55</v>
      </c>
      <c r="E3" s="81" t="s">
        <v>56</v>
      </c>
      <c r="F3" s="89" t="s">
        <v>57</v>
      </c>
      <c r="G3" s="89" t="s">
        <v>55</v>
      </c>
      <c r="H3" s="82" t="s">
        <v>56</v>
      </c>
      <c r="I3" s="90" t="s">
        <v>57</v>
      </c>
    </row>
    <row r="4" spans="2:9" x14ac:dyDescent="0.25">
      <c r="B4" s="203" t="s">
        <v>19</v>
      </c>
      <c r="C4" s="91" t="s">
        <v>58</v>
      </c>
      <c r="D4" s="84">
        <f>VLOOKUP($B$4,'Inversion Asesoria '!$A$25:$F$37,2,0)</f>
        <v>0.98394862661898286</v>
      </c>
      <c r="E4" s="84">
        <f>VLOOKUP($B$4,'Inversion Asesoria '!$A$25:$F$37,3,0)</f>
        <v>0</v>
      </c>
      <c r="F4" s="83">
        <f>(D4-E4)*(1)</f>
        <v>0.98394862661898286</v>
      </c>
      <c r="G4" s="84">
        <f>VLOOKUP($B$4,'Inversion Asesoria '!$A$25:$F$37,5,0)</f>
        <v>0.47061538593362451</v>
      </c>
      <c r="H4" s="84">
        <f>VLOOKUP($B$4,'Inversion Asesoria '!$A$25:$F$37,6,0)</f>
        <v>0</v>
      </c>
      <c r="I4" s="83">
        <f>G4-H4</f>
        <v>0.47061538593362451</v>
      </c>
    </row>
    <row r="5" spans="2:9" x14ac:dyDescent="0.25">
      <c r="B5" s="203"/>
      <c r="C5" s="91" t="s">
        <v>59</v>
      </c>
      <c r="D5" s="84">
        <f>VLOOKUP($B$4,'Inversion Politicas'!$A$25:$F$37,2,0)</f>
        <v>0.94223203410980949</v>
      </c>
      <c r="E5" s="130">
        <f>VLOOKUP($B$4,'Inversion Politicas'!$A$25:$F$37,3,0)</f>
        <v>0</v>
      </c>
      <c r="F5" s="83">
        <f t="shared" ref="F5:F7" si="0">D5-E5</f>
        <v>0.94223203410980949</v>
      </c>
      <c r="G5" s="84">
        <f>VLOOKUP($B$4,'Inversion Politicas'!$A$25:$F$37,5,0)</f>
        <v>0.29303739987673383</v>
      </c>
      <c r="H5" s="130">
        <f>VLOOKUP($B$4,'Inversion Politicas'!$A$25:$F$37,6,0)</f>
        <v>0</v>
      </c>
      <c r="I5" s="83">
        <f t="shared" ref="I5:I7" si="1">G5-H5</f>
        <v>0.29303739987673383</v>
      </c>
    </row>
    <row r="6" spans="2:9" x14ac:dyDescent="0.25">
      <c r="B6" s="203"/>
      <c r="C6" s="91" t="s">
        <v>60</v>
      </c>
      <c r="D6" s="84">
        <f>VLOOKUP($B$4,'Inversion TICs'!$A$24:$F$36,2,0)</f>
        <v>0.73925013508534754</v>
      </c>
      <c r="E6" s="130">
        <f>VLOOKUP($B$4,'Inversion TICs'!$A$24:$F$36,3,0)</f>
        <v>0</v>
      </c>
      <c r="F6" s="83">
        <f t="shared" si="0"/>
        <v>0.73925013508534754</v>
      </c>
      <c r="G6" s="84">
        <f>VLOOKUP($B$4,'Inversion TICs'!$A$24:$F$36,5,0)</f>
        <v>0.34257608051738153</v>
      </c>
      <c r="H6" s="84">
        <f>VLOOKUP($B$4,'Inversion TICs'!$A$24:$F$36,6,0)</f>
        <v>0</v>
      </c>
      <c r="I6" s="83">
        <f t="shared" si="1"/>
        <v>0.34257608051738153</v>
      </c>
    </row>
    <row r="7" spans="2:9" x14ac:dyDescent="0.25">
      <c r="B7" s="203"/>
      <c r="C7" s="92" t="s">
        <v>61</v>
      </c>
      <c r="D7" s="84">
        <f>VLOOKUP($B$4,'Inversion Infraestructura'!$A$25:$F$37,2,0)</f>
        <v>0.73432555555555556</v>
      </c>
      <c r="E7" s="84">
        <f>VLOOKUP($B$4,'Inversion Infraestructura'!$A$25:$F$37,3,0)</f>
        <v>0</v>
      </c>
      <c r="F7" s="83">
        <f t="shared" si="0"/>
        <v>0.73432555555555556</v>
      </c>
      <c r="G7" s="84">
        <f>VLOOKUP($B$4,'Inversion Infraestructura'!$A$25:$F$37,5,0)</f>
        <v>2.1995695238095237E-2</v>
      </c>
      <c r="H7" s="84">
        <f>VLOOKUP($B$4,'Inversion Infraestructura'!$A$25:$F$37,6,0)</f>
        <v>0</v>
      </c>
      <c r="I7" s="83">
        <f t="shared" si="1"/>
        <v>2.1995695238095237E-2</v>
      </c>
    </row>
    <row r="8" spans="2:9" x14ac:dyDescent="0.25">
      <c r="B8" s="203"/>
      <c r="C8" s="85" t="s">
        <v>62</v>
      </c>
      <c r="D8" s="86">
        <f>VLOOKUP($B$4,'Total Inversión Función Pública'!$A$28:$E$40,2,0)</f>
        <v>0.91158401490122853</v>
      </c>
      <c r="E8" s="131">
        <f>VLOOKUP($B$4,'Total Inversión Función Pública'!$A$28:$E$40,3,0)</f>
        <v>0</v>
      </c>
      <c r="F8" s="87">
        <f>D8-E8</f>
        <v>0.91158401490122853</v>
      </c>
      <c r="G8" s="86">
        <f>VLOOKUP($B$4,'Total Inversión Función Pública'!$A$28:$E$40,4,0)</f>
        <v>0.35102034980009744</v>
      </c>
      <c r="H8" s="86">
        <f>VLOOKUP($B$4,'Total Inversión Función Pública'!$A$28:$E$40,5,0)</f>
        <v>0</v>
      </c>
      <c r="I8" s="87">
        <f>G8-H8</f>
        <v>0.35102034980009744</v>
      </c>
    </row>
  </sheetData>
  <mergeCells count="4">
    <mergeCell ref="C2:C3"/>
    <mergeCell ref="D2:F2"/>
    <mergeCell ref="G2:I2"/>
    <mergeCell ref="B4:B8"/>
  </mergeCells>
  <conditionalFormatting sqref="I4:I8">
    <cfRule type="cellIs" dxfId="5" priority="4" operator="between">
      <formula>0.021</formula>
      <formula>0.05</formula>
    </cfRule>
    <cfRule type="cellIs" dxfId="4" priority="5" operator="lessThan">
      <formula>0.02</formula>
    </cfRule>
    <cfRule type="cellIs" dxfId="3" priority="6" operator="greaterThan">
      <formula>0.051</formula>
    </cfRule>
  </conditionalFormatting>
  <conditionalFormatting sqref="F4:F8">
    <cfRule type="cellIs" dxfId="2" priority="1" operator="between">
      <formula>0.01</formula>
      <formula>0.05</formula>
    </cfRule>
    <cfRule type="cellIs" dxfId="1" priority="2" operator="lessThan">
      <formula>0.01</formula>
    </cfRule>
    <cfRule type="cellIs" dxfId="0" priority="3" operator="greaterThan">
      <formula>0.051</formula>
    </cfRule>
  </conditionalFormatting>
  <pageMargins left="0.7" right="0.7" top="0.75" bottom="0.75" header="0.3" footer="0.3"/>
  <pageSetup paperSize="9" orientation="portrait" r:id="rId1"/>
  <ignoredErrors>
    <ignoredError sqref="D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312890-44FB-43C0-9B76-33A1D6CCCE22}">
          <x14:formula1>
            <xm:f>'TOTAL Función Pública'!$A$25:$A$36</xm:f>
          </x14:formula1>
          <xm:sqref>B4:B8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2DBD-0526-40F7-AB5F-014B5F624916}">
  <sheetPr>
    <tabColor theme="5"/>
  </sheetPr>
  <dimension ref="A1:N37"/>
  <sheetViews>
    <sheetView tabSelected="1" zoomScale="70" zoomScaleNormal="70" workbookViewId="0">
      <selection activeCell="L7" sqref="L7"/>
    </sheetView>
  </sheetViews>
  <sheetFormatPr baseColWidth="10" defaultColWidth="11.42578125" defaultRowHeight="15" x14ac:dyDescent="0.25"/>
  <cols>
    <col min="1" max="1" width="22.42578125" style="2" customWidth="1"/>
    <col min="2" max="2" width="25.28515625" style="2" bestFit="1" customWidth="1"/>
    <col min="3" max="3" width="24.5703125" style="2" customWidth="1"/>
    <col min="4" max="4" width="19.140625" style="2" hidden="1" customWidth="1"/>
    <col min="5" max="5" width="24.85546875" style="2" bestFit="1" customWidth="1"/>
    <col min="6" max="6" width="22.5703125" style="2" bestFit="1" customWidth="1"/>
    <col min="7" max="7" width="6.7109375" style="2" hidden="1" customWidth="1"/>
    <col min="8" max="8" width="14.140625" style="2" bestFit="1" customWidth="1"/>
    <col min="9" max="11" width="14.140625" style="2" customWidth="1"/>
    <col min="12" max="12" width="11.42578125" style="2"/>
    <col min="13" max="13" width="14.28515625" style="2" customWidth="1"/>
    <col min="14" max="16384" width="11.42578125" style="2"/>
  </cols>
  <sheetData>
    <row r="1" spans="1:14" x14ac:dyDescent="0.25">
      <c r="B1" s="10"/>
    </row>
    <row r="2" spans="1:14" x14ac:dyDescent="0.25">
      <c r="A2" s="2">
        <v>1000000</v>
      </c>
      <c r="B2" s="51"/>
    </row>
    <row r="3" spans="1:14" x14ac:dyDescent="0.25">
      <c r="A3" s="51">
        <f>C9/$A$2</f>
        <v>0</v>
      </c>
      <c r="B3" s="51"/>
      <c r="C3" s="51">
        <f>F9/$A$2</f>
        <v>0</v>
      </c>
    </row>
    <row r="4" spans="1:14" ht="33" customHeight="1" x14ac:dyDescent="0.25">
      <c r="A4" s="1" t="s">
        <v>0</v>
      </c>
      <c r="B4" s="5">
        <v>377651124453</v>
      </c>
      <c r="C4" s="170" t="s">
        <v>1</v>
      </c>
      <c r="D4" s="171"/>
      <c r="E4" s="171"/>
      <c r="F4" s="171"/>
      <c r="G4" s="172"/>
      <c r="L4" s="179" t="s">
        <v>2</v>
      </c>
      <c r="M4" s="180"/>
      <c r="N4" s="181"/>
    </row>
    <row r="5" spans="1:14" ht="33" customHeight="1" x14ac:dyDescent="0.25">
      <c r="A5" s="6" t="s">
        <v>3</v>
      </c>
      <c r="B5" s="7">
        <v>55600001</v>
      </c>
      <c r="C5" s="173"/>
      <c r="D5" s="174"/>
      <c r="E5" s="174"/>
      <c r="F5" s="174"/>
      <c r="G5" s="175"/>
      <c r="L5" s="182"/>
      <c r="M5" s="183"/>
      <c r="N5" s="184"/>
    </row>
    <row r="6" spans="1:14" ht="16.5" x14ac:dyDescent="0.25">
      <c r="A6" s="3" t="s">
        <v>4</v>
      </c>
      <c r="B6" s="4">
        <f>B4-B5</f>
        <v>377595524452</v>
      </c>
      <c r="C6" s="176"/>
      <c r="D6" s="177"/>
      <c r="E6" s="177"/>
      <c r="F6" s="177"/>
      <c r="G6" s="178"/>
      <c r="I6" s="51">
        <f>C9/H7</f>
        <v>0</v>
      </c>
      <c r="J6" s="51">
        <f>F9/H7</f>
        <v>0</v>
      </c>
      <c r="K6" s="51"/>
      <c r="L6" s="18" t="s">
        <v>5</v>
      </c>
      <c r="M6" s="45" t="s">
        <v>6</v>
      </c>
      <c r="N6" s="45" t="s">
        <v>7</v>
      </c>
    </row>
    <row r="7" spans="1:14" ht="45" x14ac:dyDescent="0.25">
      <c r="A7" s="1"/>
      <c r="B7" s="53" t="s">
        <v>8</v>
      </c>
      <c r="C7" s="65" t="s">
        <v>9</v>
      </c>
      <c r="D7" s="65"/>
      <c r="E7" s="53" t="s">
        <v>10</v>
      </c>
      <c r="F7" s="65" t="s">
        <v>11</v>
      </c>
      <c r="G7" s="65"/>
      <c r="H7" s="2">
        <v>1000000</v>
      </c>
      <c r="I7" s="51">
        <f>F9/H7</f>
        <v>0</v>
      </c>
      <c r="J7" s="51"/>
      <c r="K7" s="51"/>
      <c r="L7" s="46" t="s">
        <v>14</v>
      </c>
      <c r="M7" s="70">
        <f>VLOOKUP($L$7,$A$24:$G$37,4,0)</f>
        <v>0.17287630338144558</v>
      </c>
      <c r="N7" s="70">
        <f>VLOOKUP($L$7,$A$24:$G$37,7,0)</f>
        <v>9.0389386984216467E-3</v>
      </c>
    </row>
    <row r="8" spans="1:14" ht="13.5" hidden="1" customHeight="1" x14ac:dyDescent="0.25">
      <c r="A8" s="54"/>
      <c r="B8" s="55"/>
      <c r="C8" s="55"/>
      <c r="D8" s="55"/>
      <c r="E8" s="55"/>
      <c r="F8" s="55"/>
      <c r="G8" s="55"/>
    </row>
    <row r="9" spans="1:14" ht="40.5" customHeight="1" x14ac:dyDescent="0.25">
      <c r="A9" s="8" t="s">
        <v>13</v>
      </c>
      <c r="B9" s="17">
        <f>SUM(B10:B21)</f>
        <v>377321674937.32355</v>
      </c>
      <c r="C9" s="17">
        <f>SUM(C10:C21)</f>
        <v>0</v>
      </c>
      <c r="D9" s="17"/>
      <c r="E9" s="17">
        <f>SUM(E10:E21)</f>
        <v>377256538948.00244</v>
      </c>
      <c r="F9" s="17">
        <f t="shared" ref="F9" si="0">SUM(F10:F21)</f>
        <v>0</v>
      </c>
      <c r="G9" s="17"/>
    </row>
    <row r="10" spans="1:14" x14ac:dyDescent="0.25">
      <c r="A10" s="11" t="s">
        <v>14</v>
      </c>
      <c r="B10" s="63">
        <f>+'TOTAL Función Pública'!B10+'TOTAL ESAP'!J10</f>
        <v>65277318440.639999</v>
      </c>
      <c r="C10" s="68">
        <f>SUM('TOTAL Función Pública'!C10)+('TOTAL ESAP'!K10)</f>
        <v>0</v>
      </c>
      <c r="D10" s="68"/>
      <c r="E10" s="63">
        <f>SUM('TOTAL Función Pública'!D10)+('TOTAL ESAP'!M10)</f>
        <v>3413062798.3200002</v>
      </c>
      <c r="F10" s="68">
        <f>SUM('TOTAL Función Pública'!E10)+('TOTAL ESAP'!N10)</f>
        <v>0</v>
      </c>
      <c r="G10" s="12"/>
      <c r="H10" s="51"/>
      <c r="I10" s="51"/>
      <c r="J10" s="51"/>
      <c r="K10" s="51"/>
    </row>
    <row r="11" spans="1:14" x14ac:dyDescent="0.25">
      <c r="A11" s="11" t="s">
        <v>15</v>
      </c>
      <c r="B11" s="63">
        <f>+'TOTAL Función Pública'!B11+'TOTAL ESAP'!J11</f>
        <v>32595351239.724106</v>
      </c>
      <c r="C11" s="68">
        <f>SUM('TOTAL Función Pública'!C11)+('TOTAL ESAP'!K11)</f>
        <v>0</v>
      </c>
      <c r="D11" s="68"/>
      <c r="E11" s="63">
        <f>SUM('TOTAL Función Pública'!D11)+('TOTAL ESAP'!M11)</f>
        <v>27887418187.639999</v>
      </c>
      <c r="F11" s="68">
        <f>SUM('TOTAL Función Pública'!E11)+('TOTAL ESAP'!N11)</f>
        <v>0</v>
      </c>
      <c r="G11" s="12"/>
      <c r="H11" s="51"/>
      <c r="I11" s="51"/>
      <c r="J11" s="51"/>
      <c r="K11" s="51"/>
    </row>
    <row r="12" spans="1:14" x14ac:dyDescent="0.25">
      <c r="A12" s="11" t="s">
        <v>16</v>
      </c>
      <c r="B12" s="63">
        <f>+'TOTAL Función Pública'!B12+'TOTAL ESAP'!J12</f>
        <v>28172133843.482002</v>
      </c>
      <c r="C12" s="68">
        <f>SUM('TOTAL Función Pública'!C12)+('TOTAL ESAP'!K12)</f>
        <v>0</v>
      </c>
      <c r="D12" s="68"/>
      <c r="E12" s="63">
        <f>SUM('TOTAL Función Pública'!D12)+('TOTAL ESAP'!M12)</f>
        <v>32341985951.784256</v>
      </c>
      <c r="F12" s="68">
        <f>SUM('TOTAL Función Pública'!E12)+('TOTAL ESAP'!N12)</f>
        <v>0</v>
      </c>
      <c r="G12" s="12"/>
      <c r="H12" s="51"/>
      <c r="I12" s="51"/>
      <c r="J12" s="51"/>
      <c r="K12" s="51"/>
    </row>
    <row r="13" spans="1:14" x14ac:dyDescent="0.25">
      <c r="A13" s="11" t="s">
        <v>17</v>
      </c>
      <c r="B13" s="63">
        <f>+'TOTAL Función Pública'!B13+'TOTAL ESAP'!J13</f>
        <v>20823402133.110001</v>
      </c>
      <c r="C13" s="68">
        <f>SUM('TOTAL Función Pública'!C13)+('TOTAL ESAP'!K13)</f>
        <v>0</v>
      </c>
      <c r="D13" s="68"/>
      <c r="E13" s="63">
        <f>SUM('TOTAL Función Pública'!D13)+('TOTAL ESAP'!M13)</f>
        <v>21938834569.909546</v>
      </c>
      <c r="F13" s="68">
        <f>SUM('TOTAL Función Pública'!E13)+('TOTAL ESAP'!N13)</f>
        <v>0</v>
      </c>
      <c r="G13" s="12"/>
      <c r="H13" s="51"/>
      <c r="I13" s="51"/>
      <c r="J13" s="51"/>
      <c r="K13" s="51"/>
    </row>
    <row r="14" spans="1:14" x14ac:dyDescent="0.25">
      <c r="A14" s="11" t="s">
        <v>12</v>
      </c>
      <c r="B14" s="63">
        <f>+'TOTAL Función Pública'!B14+'TOTAL ESAP'!J14</f>
        <v>15933946912.760002</v>
      </c>
      <c r="C14" s="68">
        <f>SUM('TOTAL Función Pública'!C14)+('TOTAL ESAP'!K14)</f>
        <v>0</v>
      </c>
      <c r="D14" s="68"/>
      <c r="E14" s="63">
        <f>SUM('TOTAL Función Pública'!D14)+('TOTAL ESAP'!M14)</f>
        <v>23821139895.750908</v>
      </c>
      <c r="F14" s="68">
        <f>SUM('TOTAL Función Pública'!E14)+('TOTAL ESAP'!N14)</f>
        <v>0</v>
      </c>
      <c r="G14" s="12"/>
      <c r="H14" s="51"/>
      <c r="I14" s="51"/>
      <c r="J14" s="51"/>
      <c r="K14" s="51"/>
    </row>
    <row r="15" spans="1:14" x14ac:dyDescent="0.25">
      <c r="A15" s="11" t="s">
        <v>18</v>
      </c>
      <c r="B15" s="63">
        <f>+'TOTAL Función Pública'!B15+'TOTAL ESAP'!J15</f>
        <v>21294410393.110001</v>
      </c>
      <c r="C15" s="68">
        <f>SUM('TOTAL Función Pública'!C15)+('TOTAL ESAP'!K15)</f>
        <v>0</v>
      </c>
      <c r="D15" s="68"/>
      <c r="E15" s="63">
        <f>SUM('TOTAL Función Pública'!D15)+('TOTAL ESAP'!M15)</f>
        <v>23840236343.422855</v>
      </c>
      <c r="F15" s="68">
        <f>SUM('TOTAL Función Pública'!E15)+('TOTAL ESAP'!N15)</f>
        <v>0</v>
      </c>
      <c r="G15" s="12"/>
      <c r="H15" s="51"/>
      <c r="I15" s="51"/>
      <c r="J15" s="51"/>
      <c r="K15" s="51"/>
    </row>
    <row r="16" spans="1:14" x14ac:dyDescent="0.25">
      <c r="A16" s="11" t="s">
        <v>19</v>
      </c>
      <c r="B16" s="63">
        <f>+'TOTAL Función Pública'!B16+'TOTAL ESAP'!J16</f>
        <v>43541725598.803001</v>
      </c>
      <c r="C16" s="68">
        <f>SUM('TOTAL Función Pública'!C16)+('TOTAL ESAP'!K16)</f>
        <v>0</v>
      </c>
      <c r="D16" s="68"/>
      <c r="E16" s="63">
        <f>SUM('TOTAL Función Pública'!D16)+('TOTAL ESAP'!M16)</f>
        <v>33062714927.868355</v>
      </c>
      <c r="F16" s="68">
        <f>SUM('TOTAL Función Pública'!E16)+('TOTAL ESAP'!N16)</f>
        <v>0</v>
      </c>
      <c r="G16" s="12"/>
    </row>
    <row r="17" spans="1:11" x14ac:dyDescent="0.25">
      <c r="A17" s="11" t="s">
        <v>20</v>
      </c>
      <c r="B17" s="63">
        <f>+'TOTAL Función Pública'!B17+'TOTAL ESAP'!J17</f>
        <v>21530651956.247856</v>
      </c>
      <c r="C17" s="68">
        <f>SUM('TOTAL Función Pública'!C17)+('TOTAL ESAP'!K17)</f>
        <v>0</v>
      </c>
      <c r="D17" s="68"/>
      <c r="E17" s="63">
        <f>SUM('TOTAL Función Pública'!D17)+('TOTAL ESAP'!M17)</f>
        <v>32330377524.12619</v>
      </c>
      <c r="F17" s="68">
        <f>SUM('TOTAL Función Pública'!E17)+('TOTAL ESAP'!N17)</f>
        <v>0</v>
      </c>
      <c r="G17" s="12"/>
    </row>
    <row r="18" spans="1:11" x14ac:dyDescent="0.25">
      <c r="A18" s="11" t="s">
        <v>21</v>
      </c>
      <c r="B18" s="63">
        <f>+'TOTAL Función Pública'!B18+'TOTAL ESAP'!J18</f>
        <v>42698581824.034004</v>
      </c>
      <c r="C18" s="68">
        <f>SUM('TOTAL Función Pública'!C18)+('TOTAL ESAP'!K18)</f>
        <v>0</v>
      </c>
      <c r="D18" s="68"/>
      <c r="E18" s="63">
        <f>SUM('TOTAL Función Pública'!D18)+('TOTAL ESAP'!M18)</f>
        <v>35970668969.886192</v>
      </c>
      <c r="F18" s="68">
        <f>SUM('TOTAL Función Pública'!E18)+('TOTAL ESAP'!N18)</f>
        <v>0</v>
      </c>
      <c r="G18" s="12"/>
    </row>
    <row r="19" spans="1:11" x14ac:dyDescent="0.25">
      <c r="A19" s="11" t="s">
        <v>22</v>
      </c>
      <c r="B19" s="63">
        <f>+'TOTAL Función Pública'!B19+'TOTAL ESAP'!J19</f>
        <v>25984404168.489342</v>
      </c>
      <c r="C19" s="68">
        <f>SUM('TOTAL Función Pública'!C19)+('TOTAL ESAP'!K19)</f>
        <v>0</v>
      </c>
      <c r="D19" s="68"/>
      <c r="E19" s="63">
        <f>SUM('TOTAL Función Pública'!D19)+('TOTAL ESAP'!M19)</f>
        <v>38126622578.568611</v>
      </c>
      <c r="F19" s="68">
        <f>SUM('TOTAL Función Pública'!E19)+('TOTAL ESAP'!N19)</f>
        <v>0</v>
      </c>
      <c r="G19" s="12"/>
    </row>
    <row r="20" spans="1:11" x14ac:dyDescent="0.25">
      <c r="A20" s="57" t="s">
        <v>23</v>
      </c>
      <c r="B20" s="63">
        <f>+'TOTAL Función Pública'!B20+'TOTAL ESAP'!J20</f>
        <v>24051487361.207283</v>
      </c>
      <c r="C20" s="68">
        <f>SUM('TOTAL Función Pública'!C20)+('TOTAL ESAP'!K20)</f>
        <v>0</v>
      </c>
      <c r="D20" s="68"/>
      <c r="E20" s="63">
        <f>SUM('TOTAL Función Pública'!D20)+('TOTAL ESAP'!M20)</f>
        <v>40207832068.086189</v>
      </c>
      <c r="F20" s="68">
        <f>SUM('TOTAL Función Pública'!E20)+('TOTAL ESAP'!N20)</f>
        <v>0</v>
      </c>
      <c r="G20" s="12"/>
    </row>
    <row r="21" spans="1:11" x14ac:dyDescent="0.25">
      <c r="A21" s="11" t="s">
        <v>24</v>
      </c>
      <c r="B21" s="63">
        <f>+'TOTAL Función Pública'!B21+'TOTAL ESAP'!J21</f>
        <v>35418261065.715935</v>
      </c>
      <c r="C21" s="68">
        <f>SUM('TOTAL Función Pública'!C21)+('TOTAL ESAP'!K21)</f>
        <v>0</v>
      </c>
      <c r="D21" s="68"/>
      <c r="E21" s="63">
        <f>SUM('TOTAL Función Pública'!D21)+('TOTAL ESAP'!M21)</f>
        <v>64315645132.639366</v>
      </c>
      <c r="F21" s="68">
        <f>SUM('TOTAL Función Pública'!E21)+('TOTAL ESAP'!N21)</f>
        <v>0</v>
      </c>
      <c r="G21" s="12"/>
    </row>
    <row r="22" spans="1:11" x14ac:dyDescent="0.25">
      <c r="A22" s="49"/>
      <c r="B22" s="59"/>
      <c r="C22" s="59"/>
      <c r="D22" s="59"/>
      <c r="E22" s="59"/>
      <c r="F22" s="59"/>
      <c r="G22" s="59"/>
    </row>
    <row r="23" spans="1:11" x14ac:dyDescent="0.25">
      <c r="A23" s="49"/>
      <c r="B23" s="59"/>
      <c r="C23" s="59"/>
      <c r="D23" s="59"/>
      <c r="E23" s="59"/>
      <c r="F23" s="59"/>
      <c r="G23" s="59"/>
    </row>
    <row r="24" spans="1:11" ht="30" x14ac:dyDescent="0.25">
      <c r="A24" s="13" t="s">
        <v>25</v>
      </c>
      <c r="B24" s="14">
        <f>SUM(B10:B21)/$B$6</f>
        <v>0.99927475434176849</v>
      </c>
      <c r="C24" s="14">
        <f>SUM(C10:C21)/$B$6</f>
        <v>0</v>
      </c>
      <c r="D24" s="14"/>
      <c r="E24" s="56">
        <f>SUM(E10:E21)/$B$6</f>
        <v>0.99910225232544925</v>
      </c>
      <c r="F24" s="14">
        <f>SUM(F10:F21)/$B$6</f>
        <v>0</v>
      </c>
      <c r="G24" s="67">
        <f>(F24-E24)*-1</f>
        <v>0.99910225232544925</v>
      </c>
    </row>
    <row r="25" spans="1:11" ht="45" x14ac:dyDescent="0.25">
      <c r="A25" s="13"/>
      <c r="B25" s="53" t="s">
        <v>8</v>
      </c>
      <c r="C25" s="65" t="s">
        <v>9</v>
      </c>
      <c r="D25" s="65"/>
      <c r="E25" s="53" t="s">
        <v>10</v>
      </c>
      <c r="F25" s="65" t="s">
        <v>11</v>
      </c>
      <c r="G25" s="67"/>
    </row>
    <row r="26" spans="1:11" x14ac:dyDescent="0.25">
      <c r="A26" s="15" t="s">
        <v>14</v>
      </c>
      <c r="B26" s="74">
        <f>B10/$B$6</f>
        <v>0.17287630338144558</v>
      </c>
      <c r="C26" s="93">
        <f>C10/$B$6</f>
        <v>0</v>
      </c>
      <c r="D26" s="75">
        <f t="shared" ref="D26:D37" si="1">(C26-B26)*-1</f>
        <v>0.17287630338144558</v>
      </c>
      <c r="E26" s="16">
        <f>E10/$B$6</f>
        <v>9.0389386984216467E-3</v>
      </c>
      <c r="F26" s="71">
        <f>F10/$B$6</f>
        <v>0</v>
      </c>
      <c r="G26" s="69">
        <f t="shared" ref="G26:G37" si="2">(F26-E26)*-1</f>
        <v>9.0389386984216467E-3</v>
      </c>
    </row>
    <row r="27" spans="1:11" x14ac:dyDescent="0.25">
      <c r="A27" s="15" t="s">
        <v>15</v>
      </c>
      <c r="B27" s="74">
        <f t="shared" ref="B27:B37" si="3">(B11/$B$6)+B26</f>
        <v>0.25919976096752095</v>
      </c>
      <c r="C27" s="93">
        <f t="shared" ref="C27:C37" si="4">(C11/$B$6)+C26</f>
        <v>0</v>
      </c>
      <c r="D27" s="73">
        <f t="shared" si="1"/>
        <v>0.25919976096752095</v>
      </c>
      <c r="E27" s="16">
        <f t="shared" ref="E27:E37" si="5">(E11/$B$6)+E26</f>
        <v>8.2894205463335466E-2</v>
      </c>
      <c r="F27" s="71">
        <f t="shared" ref="F27:F37" si="6">(F11/$B$6)+F26</f>
        <v>0</v>
      </c>
      <c r="G27" s="16">
        <f t="shared" si="2"/>
        <v>8.2894205463335466E-2</v>
      </c>
    </row>
    <row r="28" spans="1:11" x14ac:dyDescent="0.25">
      <c r="A28" s="15" t="s">
        <v>16</v>
      </c>
      <c r="B28" s="74">
        <f t="shared" si="3"/>
        <v>0.33380905058865162</v>
      </c>
      <c r="C28" s="93">
        <f t="shared" si="4"/>
        <v>0</v>
      </c>
      <c r="D28" s="73">
        <f t="shared" si="1"/>
        <v>0.33380905058865162</v>
      </c>
      <c r="E28" s="16">
        <f t="shared" si="5"/>
        <v>0.16854666651599703</v>
      </c>
      <c r="F28" s="71">
        <f t="shared" si="6"/>
        <v>0</v>
      </c>
      <c r="G28" s="16">
        <f t="shared" si="2"/>
        <v>0.16854666651599703</v>
      </c>
    </row>
    <row r="29" spans="1:11" x14ac:dyDescent="0.25">
      <c r="A29" s="15" t="s">
        <v>17</v>
      </c>
      <c r="B29" s="74">
        <f t="shared" si="3"/>
        <v>0.3889564259801655</v>
      </c>
      <c r="C29" s="93">
        <f t="shared" si="4"/>
        <v>0</v>
      </c>
      <c r="D29" s="73">
        <f t="shared" si="1"/>
        <v>0.3889564259801655</v>
      </c>
      <c r="E29" s="16">
        <f t="shared" si="5"/>
        <v>0.22664808231468564</v>
      </c>
      <c r="F29" s="71">
        <f t="shared" si="6"/>
        <v>0</v>
      </c>
      <c r="G29" s="16">
        <f t="shared" si="2"/>
        <v>0.22664808231468564</v>
      </c>
    </row>
    <row r="30" spans="1:11" x14ac:dyDescent="0.25">
      <c r="A30" s="15" t="s">
        <v>12</v>
      </c>
      <c r="B30" s="74">
        <f t="shared" si="3"/>
        <v>0.43115487877137576</v>
      </c>
      <c r="C30" s="93">
        <f t="shared" si="4"/>
        <v>0</v>
      </c>
      <c r="D30" s="73">
        <f t="shared" si="1"/>
        <v>0.43115487877137576</v>
      </c>
      <c r="E30" s="16">
        <f t="shared" si="5"/>
        <v>0.2897344759638748</v>
      </c>
      <c r="F30" s="71">
        <f t="shared" si="6"/>
        <v>0</v>
      </c>
      <c r="G30" s="16">
        <f t="shared" si="2"/>
        <v>0.2897344759638748</v>
      </c>
    </row>
    <row r="31" spans="1:11" x14ac:dyDescent="0.25">
      <c r="A31" s="15" t="s">
        <v>18</v>
      </c>
      <c r="B31" s="74">
        <f t="shared" si="3"/>
        <v>0.48754964251762073</v>
      </c>
      <c r="C31" s="93">
        <f t="shared" si="4"/>
        <v>0</v>
      </c>
      <c r="D31" s="73">
        <f t="shared" si="1"/>
        <v>0.48754964251762073</v>
      </c>
      <c r="E31" s="16">
        <f t="shared" si="5"/>
        <v>0.35287144343196625</v>
      </c>
      <c r="F31" s="71">
        <f t="shared" si="6"/>
        <v>0</v>
      </c>
      <c r="G31" s="16">
        <f t="shared" si="2"/>
        <v>0.35287144343196625</v>
      </c>
      <c r="H31" s="113"/>
      <c r="I31" s="113"/>
      <c r="J31" s="113"/>
      <c r="K31" s="113"/>
    </row>
    <row r="32" spans="1:11" x14ac:dyDescent="0.25">
      <c r="A32" s="15" t="s">
        <v>19</v>
      </c>
      <c r="B32" s="74">
        <f t="shared" si="3"/>
        <v>0.60286278258196502</v>
      </c>
      <c r="C32" s="93">
        <f t="shared" si="4"/>
        <v>0</v>
      </c>
      <c r="D32" s="73">
        <f t="shared" si="1"/>
        <v>0.60286278258196502</v>
      </c>
      <c r="E32" s="16">
        <f t="shared" si="5"/>
        <v>0.44043263732019333</v>
      </c>
      <c r="F32" s="71">
        <f t="shared" si="6"/>
        <v>0</v>
      </c>
      <c r="G32" s="16">
        <f t="shared" si="2"/>
        <v>0.44043263732019333</v>
      </c>
    </row>
    <row r="33" spans="1:7" x14ac:dyDescent="0.25">
      <c r="A33" s="15" t="s">
        <v>20</v>
      </c>
      <c r="B33" s="74">
        <f t="shared" si="3"/>
        <v>0.65988319347665203</v>
      </c>
      <c r="C33" s="93">
        <f t="shared" si="4"/>
        <v>0</v>
      </c>
      <c r="D33" s="73">
        <f t="shared" si="1"/>
        <v>0.65988319347665203</v>
      </c>
      <c r="E33" s="16">
        <f t="shared" si="5"/>
        <v>0.52605435535047684</v>
      </c>
      <c r="F33" s="71">
        <f t="shared" si="6"/>
        <v>0</v>
      </c>
      <c r="G33" s="16">
        <f t="shared" si="2"/>
        <v>0.52605435535047684</v>
      </c>
    </row>
    <row r="34" spans="1:7" x14ac:dyDescent="0.25">
      <c r="A34" s="15" t="s">
        <v>21</v>
      </c>
      <c r="B34" s="74">
        <f t="shared" si="3"/>
        <v>0.77296340512905959</v>
      </c>
      <c r="C34" s="93">
        <f t="shared" si="4"/>
        <v>0</v>
      </c>
      <c r="D34" s="73">
        <f t="shared" si="1"/>
        <v>0.77296340512905959</v>
      </c>
      <c r="E34" s="16">
        <f t="shared" si="5"/>
        <v>0.62131678999424023</v>
      </c>
      <c r="F34" s="71">
        <f t="shared" si="6"/>
        <v>0</v>
      </c>
      <c r="G34" s="16">
        <f t="shared" si="2"/>
        <v>0.62131678999424023</v>
      </c>
    </row>
    <row r="35" spans="1:7" x14ac:dyDescent="0.25">
      <c r="A35" s="15" t="s">
        <v>22</v>
      </c>
      <c r="B35" s="74">
        <f t="shared" si="3"/>
        <v>0.84177885045564338</v>
      </c>
      <c r="C35" s="93">
        <f t="shared" si="4"/>
        <v>0</v>
      </c>
      <c r="D35" s="73">
        <f t="shared" si="1"/>
        <v>0.84177885045564338</v>
      </c>
      <c r="E35" s="16">
        <f t="shared" si="5"/>
        <v>0.72228891521712613</v>
      </c>
      <c r="F35" s="71">
        <f t="shared" si="6"/>
        <v>0</v>
      </c>
      <c r="G35" s="16">
        <f t="shared" si="2"/>
        <v>0.72228891521712613</v>
      </c>
    </row>
    <row r="36" spans="1:7" x14ac:dyDescent="0.25">
      <c r="A36" s="15" t="s">
        <v>23</v>
      </c>
      <c r="B36" s="74">
        <f t="shared" si="3"/>
        <v>0.90547528169940061</v>
      </c>
      <c r="C36" s="93">
        <f t="shared" si="4"/>
        <v>0</v>
      </c>
      <c r="D36" s="73">
        <f t="shared" si="1"/>
        <v>0.90547528169940061</v>
      </c>
      <c r="E36" s="16">
        <f t="shared" si="5"/>
        <v>0.8287727834420987</v>
      </c>
      <c r="F36" s="71">
        <f t="shared" si="6"/>
        <v>0</v>
      </c>
      <c r="G36" s="16">
        <f t="shared" si="2"/>
        <v>0.8287727834420987</v>
      </c>
    </row>
    <row r="37" spans="1:7" x14ac:dyDescent="0.25">
      <c r="A37" s="15" t="s">
        <v>24</v>
      </c>
      <c r="B37" s="74">
        <f t="shared" si="3"/>
        <v>0.99927475434176849</v>
      </c>
      <c r="C37" s="93">
        <f t="shared" si="4"/>
        <v>0</v>
      </c>
      <c r="D37" s="73">
        <f t="shared" si="1"/>
        <v>0.99927475434176849</v>
      </c>
      <c r="E37" s="16">
        <f t="shared" si="5"/>
        <v>0.99910225232544925</v>
      </c>
      <c r="F37" s="71">
        <f t="shared" si="6"/>
        <v>0</v>
      </c>
      <c r="G37" s="16">
        <f t="shared" si="2"/>
        <v>0.99910225232544925</v>
      </c>
    </row>
  </sheetData>
  <autoFilter ref="A9:G37" xr:uid="{0499F70C-83AA-4635-9895-CC90E5E0A7DD}"/>
  <mergeCells count="2">
    <mergeCell ref="C4:G6"/>
    <mergeCell ref="L4:N5"/>
  </mergeCells>
  <conditionalFormatting sqref="M7">
    <cfRule type="cellIs" dxfId="53" priority="4" operator="between">
      <formula>-100</formula>
      <formula>0.0298</formula>
    </cfRule>
    <cfRule type="cellIs" dxfId="52" priority="5" operator="between">
      <formula>0.0299</formula>
      <formula>0.0599</formula>
    </cfRule>
    <cfRule type="cellIs" dxfId="51" priority="6" operator="greaterThan">
      <formula>0.06</formula>
    </cfRule>
  </conditionalFormatting>
  <conditionalFormatting sqref="N7">
    <cfRule type="cellIs" dxfId="50" priority="1" operator="lessThan">
      <formula>0.0298</formula>
    </cfRule>
    <cfRule type="cellIs" dxfId="49" priority="2" operator="between">
      <formula>0.0299</formula>
      <formula>0.0599</formula>
    </cfRule>
    <cfRule type="cellIs" dxfId="48" priority="3" operator="greaterThan">
      <formula>0.06</formula>
    </cfRule>
  </conditionalFormatting>
  <dataValidations count="1">
    <dataValidation type="list" allowBlank="1" showInputMessage="1" showErrorMessage="1" sqref="L7" xr:uid="{9B7FD5B3-E391-403D-B8BF-A71419EF61A8}">
      <formula1>$A$7:$A$17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5452-CCFF-4F14-8E0B-0285D1B08E7A}">
  <sheetPr>
    <tabColor theme="7"/>
  </sheetPr>
  <dimension ref="A2:T51"/>
  <sheetViews>
    <sheetView topLeftCell="A4" zoomScale="87" zoomScaleNormal="87" workbookViewId="0">
      <selection activeCell="K19" sqref="K19"/>
    </sheetView>
  </sheetViews>
  <sheetFormatPr baseColWidth="10" defaultColWidth="11.42578125" defaultRowHeight="15" x14ac:dyDescent="0.25"/>
  <cols>
    <col min="1" max="1" width="22.42578125" style="2" customWidth="1"/>
    <col min="2" max="2" width="20.7109375" style="2" bestFit="1" customWidth="1"/>
    <col min="3" max="6" width="20.5703125" style="2" customWidth="1"/>
    <col min="7" max="7" width="20.5703125" style="2" bestFit="1" customWidth="1"/>
    <col min="8" max="9" width="20.5703125" style="2" customWidth="1"/>
    <col min="10" max="10" width="25.28515625" style="2" bestFit="1" customWidth="1"/>
    <col min="11" max="11" width="24.85546875" style="2" bestFit="1" customWidth="1"/>
    <col min="12" max="12" width="19.140625" style="2" hidden="1" customWidth="1"/>
    <col min="13" max="13" width="20.28515625" style="2" customWidth="1"/>
    <col min="14" max="14" width="18.140625" style="2" bestFit="1" customWidth="1"/>
    <col min="15" max="15" width="6.28515625" style="2" hidden="1" customWidth="1"/>
    <col min="16" max="16" width="14.140625" style="2" bestFit="1" customWidth="1"/>
    <col min="17" max="17" width="14.140625" style="2" customWidth="1"/>
    <col min="18" max="18" width="11.42578125" style="2"/>
    <col min="19" max="19" width="14.28515625" style="2" customWidth="1"/>
    <col min="20" max="16384" width="11.42578125" style="2"/>
  </cols>
  <sheetData>
    <row r="2" spans="1:20" x14ac:dyDescent="0.25">
      <c r="J2" s="2">
        <v>1000000</v>
      </c>
    </row>
    <row r="3" spans="1:20" x14ac:dyDescent="0.25">
      <c r="C3" s="94">
        <v>1000000</v>
      </c>
      <c r="J3" s="51">
        <f>K10/J2</f>
        <v>0</v>
      </c>
    </row>
    <row r="4" spans="1:20" ht="15" customHeight="1" x14ac:dyDescent="0.25">
      <c r="A4" s="1" t="s">
        <v>0</v>
      </c>
      <c r="B4" s="5">
        <v>115677431153</v>
      </c>
      <c r="C4" s="185" t="s">
        <v>26</v>
      </c>
      <c r="D4" s="186"/>
      <c r="E4" s="187"/>
      <c r="F4" s="5">
        <v>214000000000</v>
      </c>
      <c r="G4" s="185" t="s">
        <v>27</v>
      </c>
      <c r="H4" s="186"/>
      <c r="I4" s="187"/>
      <c r="J4" s="5">
        <f>B4+F4</f>
        <v>329677431153</v>
      </c>
      <c r="K4" s="170" t="s">
        <v>28</v>
      </c>
      <c r="L4" s="171"/>
      <c r="M4" s="171"/>
      <c r="N4" s="172"/>
      <c r="O4" s="72"/>
      <c r="R4" s="179" t="s">
        <v>2</v>
      </c>
      <c r="S4" s="180"/>
      <c r="T4" s="181"/>
    </row>
    <row r="5" spans="1:20" ht="30" customHeight="1" x14ac:dyDescent="0.25">
      <c r="A5" s="6" t="s">
        <v>3</v>
      </c>
      <c r="B5" s="7">
        <v>0</v>
      </c>
      <c r="C5" s="188"/>
      <c r="D5" s="189"/>
      <c r="E5" s="190"/>
      <c r="F5" s="7">
        <v>0</v>
      </c>
      <c r="G5" s="188"/>
      <c r="H5" s="189"/>
      <c r="I5" s="190"/>
      <c r="J5" s="7">
        <v>0</v>
      </c>
      <c r="K5" s="173"/>
      <c r="L5" s="174"/>
      <c r="M5" s="174"/>
      <c r="N5" s="175"/>
      <c r="O5" s="72"/>
      <c r="R5" s="182"/>
      <c r="S5" s="183"/>
      <c r="T5" s="184"/>
    </row>
    <row r="6" spans="1:20" ht="16.5" customHeight="1" x14ac:dyDescent="0.25">
      <c r="A6" s="3" t="s">
        <v>4</v>
      </c>
      <c r="B6" s="4">
        <f>B4-B5</f>
        <v>115677431153</v>
      </c>
      <c r="C6" s="191"/>
      <c r="D6" s="192"/>
      <c r="E6" s="193"/>
      <c r="F6" s="4">
        <f>F4-F5</f>
        <v>214000000000</v>
      </c>
      <c r="G6" s="191"/>
      <c r="H6" s="192"/>
      <c r="I6" s="193"/>
      <c r="J6" s="4">
        <f>J4-J5</f>
        <v>329677431153</v>
      </c>
      <c r="K6" s="176"/>
      <c r="L6" s="177"/>
      <c r="M6" s="177"/>
      <c r="N6" s="178"/>
      <c r="O6" s="72"/>
      <c r="R6" s="18" t="s">
        <v>5</v>
      </c>
      <c r="S6" s="45" t="s">
        <v>6</v>
      </c>
      <c r="T6" s="45" t="s">
        <v>7</v>
      </c>
    </row>
    <row r="7" spans="1:20" ht="45" x14ac:dyDescent="0.25">
      <c r="A7" s="1"/>
      <c r="B7" s="61" t="s">
        <v>29</v>
      </c>
      <c r="C7" s="52" t="s">
        <v>30</v>
      </c>
      <c r="D7" s="61" t="s">
        <v>10</v>
      </c>
      <c r="E7" s="52" t="s">
        <v>31</v>
      </c>
      <c r="F7" s="61" t="s">
        <v>29</v>
      </c>
      <c r="G7" s="52" t="s">
        <v>30</v>
      </c>
      <c r="H7" s="61" t="s">
        <v>10</v>
      </c>
      <c r="I7" s="52" t="s">
        <v>31</v>
      </c>
      <c r="J7" s="53" t="s">
        <v>8</v>
      </c>
      <c r="K7" s="65" t="s">
        <v>9</v>
      </c>
      <c r="L7" s="65"/>
      <c r="M7" s="53" t="s">
        <v>10</v>
      </c>
      <c r="N7" s="65" t="s">
        <v>11</v>
      </c>
      <c r="O7" s="65"/>
      <c r="R7" s="46" t="s">
        <v>14</v>
      </c>
      <c r="S7" s="70">
        <f>VLOOKUP($R$7,$A$24:$O$37,12,0)</f>
        <v>0.1571220421447361</v>
      </c>
      <c r="T7" s="70">
        <f>VLOOKUP($R$7,$A$24:$O$37,15,0)</f>
        <v>5.7173671995922673E-3</v>
      </c>
    </row>
    <row r="8" spans="1:20" ht="13.5" customHeight="1" x14ac:dyDescent="0.25">
      <c r="A8" s="54"/>
      <c r="B8" s="100">
        <f>B9/$C$3</f>
        <v>115677.431153</v>
      </c>
      <c r="C8" s="99">
        <f t="shared" ref="C8:I8" si="0">C9/$C$3</f>
        <v>0</v>
      </c>
      <c r="D8" s="100">
        <f t="shared" si="0"/>
        <v>115677.43115300004</v>
      </c>
      <c r="E8" s="99">
        <f t="shared" si="0"/>
        <v>0</v>
      </c>
      <c r="F8" s="100">
        <f t="shared" si="0"/>
        <v>214000.00000042355</v>
      </c>
      <c r="G8" s="99">
        <f t="shared" si="0"/>
        <v>0</v>
      </c>
      <c r="H8" s="100">
        <f t="shared" si="0"/>
        <v>213999.99999990611</v>
      </c>
      <c r="I8" s="99">
        <f t="shared" si="0"/>
        <v>0</v>
      </c>
      <c r="J8" s="99">
        <v>329677.43115342344</v>
      </c>
      <c r="K8" s="99">
        <v>87419.399222580003</v>
      </c>
      <c r="L8" s="99">
        <v>0</v>
      </c>
      <c r="M8" s="99">
        <v>329677.43115290598</v>
      </c>
      <c r="N8" s="99">
        <v>11250.603694180001</v>
      </c>
      <c r="O8" s="99">
        <f t="shared" ref="O8" si="1">O9/$C$3</f>
        <v>0</v>
      </c>
    </row>
    <row r="9" spans="1:20" ht="40.5" customHeight="1" x14ac:dyDescent="0.25">
      <c r="A9" s="8" t="s">
        <v>13</v>
      </c>
      <c r="B9" s="62">
        <f t="shared" ref="B9:K9" si="2">SUBTOTAL(9,B10:B21)</f>
        <v>115677431153</v>
      </c>
      <c r="C9" s="9">
        <f t="shared" si="2"/>
        <v>0</v>
      </c>
      <c r="D9" s="62">
        <f t="shared" si="2"/>
        <v>115677431153.00005</v>
      </c>
      <c r="E9" s="9">
        <f t="shared" si="2"/>
        <v>0</v>
      </c>
      <c r="F9" s="62">
        <f t="shared" si="2"/>
        <v>214000000000.42355</v>
      </c>
      <c r="G9" s="9">
        <f t="shared" si="2"/>
        <v>0</v>
      </c>
      <c r="H9" s="62">
        <f t="shared" si="2"/>
        <v>213999999999.9061</v>
      </c>
      <c r="I9" s="9">
        <f t="shared" si="2"/>
        <v>0</v>
      </c>
      <c r="J9" s="62">
        <f t="shared" si="2"/>
        <v>329677431153.42346</v>
      </c>
      <c r="K9" s="9">
        <f t="shared" si="2"/>
        <v>0</v>
      </c>
      <c r="L9" s="17"/>
      <c r="M9" s="62">
        <f>SUBTOTAL(9,M10:M21)</f>
        <v>329677431152.90607</v>
      </c>
      <c r="N9" s="9">
        <f>SUBTOTAL(9,N10:N21)</f>
        <v>0</v>
      </c>
      <c r="O9" s="17"/>
    </row>
    <row r="10" spans="1:20" x14ac:dyDescent="0.25">
      <c r="A10" s="11" t="s">
        <v>14</v>
      </c>
      <c r="B10" s="63">
        <v>36315700530.459999</v>
      </c>
      <c r="C10" s="68">
        <v>0</v>
      </c>
      <c r="D10" s="63">
        <v>1884696931.3200002</v>
      </c>
      <c r="E10" s="68">
        <v>0</v>
      </c>
      <c r="F10" s="155">
        <v>15483890701.33</v>
      </c>
      <c r="G10" s="68">
        <v>0</v>
      </c>
      <c r="H10" s="155">
        <v>190000</v>
      </c>
      <c r="I10" s="68">
        <v>0</v>
      </c>
      <c r="J10" s="63">
        <f>B10+F10</f>
        <v>51799591231.790001</v>
      </c>
      <c r="K10" s="68">
        <v>0</v>
      </c>
      <c r="L10" s="68"/>
      <c r="M10" s="12">
        <f>D10+H10</f>
        <v>1884886931.3200002</v>
      </c>
      <c r="N10" s="68">
        <f>E10+I10</f>
        <v>0</v>
      </c>
      <c r="O10" s="12"/>
    </row>
    <row r="11" spans="1:20" x14ac:dyDescent="0.25">
      <c r="A11" s="11" t="s">
        <v>15</v>
      </c>
      <c r="B11" s="63">
        <v>3363168091.2000008</v>
      </c>
      <c r="C11" s="68">
        <v>0</v>
      </c>
      <c r="D11" s="63">
        <v>3499150042.4000001</v>
      </c>
      <c r="E11" s="68">
        <v>0</v>
      </c>
      <c r="F11" s="155">
        <v>25229396910.074104</v>
      </c>
      <c r="G11" s="68">
        <v>0</v>
      </c>
      <c r="H11" s="155">
        <v>22194324173</v>
      </c>
      <c r="I11" s="68">
        <v>0</v>
      </c>
      <c r="J11" s="63">
        <f t="shared" ref="J11:J21" si="3">B11+F11</f>
        <v>28592565001.274105</v>
      </c>
      <c r="K11" s="68">
        <v>0</v>
      </c>
      <c r="L11" s="68"/>
      <c r="M11" s="12">
        <f t="shared" ref="M11:M21" si="4">D11+H11</f>
        <v>25693474215.400002</v>
      </c>
      <c r="N11" s="68">
        <f t="shared" ref="N11:N21" si="5">E11+I11</f>
        <v>0</v>
      </c>
      <c r="O11" s="12"/>
    </row>
    <row r="12" spans="1:20" x14ac:dyDescent="0.25">
      <c r="A12" s="11" t="s">
        <v>16</v>
      </c>
      <c r="B12" s="63">
        <v>1153719410</v>
      </c>
      <c r="C12" s="68">
        <v>0</v>
      </c>
      <c r="D12" s="63">
        <v>4246191798.04</v>
      </c>
      <c r="E12" s="68">
        <v>0</v>
      </c>
      <c r="F12" s="155">
        <v>24688250435.582001</v>
      </c>
      <c r="G12" s="68">
        <v>0</v>
      </c>
      <c r="H12" s="155">
        <v>25047050480.29092</v>
      </c>
      <c r="I12" s="68">
        <v>0</v>
      </c>
      <c r="J12" s="63">
        <f t="shared" si="3"/>
        <v>25841969845.582001</v>
      </c>
      <c r="K12" s="68">
        <v>0</v>
      </c>
      <c r="L12" s="68"/>
      <c r="M12" s="12">
        <f t="shared" si="4"/>
        <v>29293242278.330921</v>
      </c>
      <c r="N12" s="68">
        <f t="shared" si="5"/>
        <v>0</v>
      </c>
      <c r="O12" s="12"/>
    </row>
    <row r="13" spans="1:20" x14ac:dyDescent="0.25">
      <c r="A13" s="11" t="s">
        <v>17</v>
      </c>
      <c r="B13" s="63">
        <v>430319335</v>
      </c>
      <c r="C13" s="68">
        <v>0</v>
      </c>
      <c r="D13" s="63">
        <v>3503140043.4828796</v>
      </c>
      <c r="E13" s="68">
        <v>0</v>
      </c>
      <c r="F13" s="155">
        <v>17634570741.77</v>
      </c>
      <c r="G13" s="68">
        <v>0</v>
      </c>
      <c r="H13" s="155">
        <v>14924283791</v>
      </c>
      <c r="I13" s="68">
        <v>0</v>
      </c>
      <c r="J13" s="63">
        <f t="shared" si="3"/>
        <v>18064890076.77</v>
      </c>
      <c r="K13" s="68">
        <v>0</v>
      </c>
      <c r="L13" s="68"/>
      <c r="M13" s="12">
        <f t="shared" si="4"/>
        <v>18427423834.48288</v>
      </c>
      <c r="N13" s="68">
        <f t="shared" si="5"/>
        <v>0</v>
      </c>
      <c r="O13" s="12"/>
    </row>
    <row r="14" spans="1:20" x14ac:dyDescent="0.25">
      <c r="A14" s="11" t="s">
        <v>12</v>
      </c>
      <c r="B14" s="63">
        <v>1212513605.3600001</v>
      </c>
      <c r="C14" s="68">
        <v>0</v>
      </c>
      <c r="D14" s="63">
        <v>3708315581.4000001</v>
      </c>
      <c r="E14" s="68">
        <v>0</v>
      </c>
      <c r="F14" s="155">
        <v>12252467056.1</v>
      </c>
      <c r="G14" s="68">
        <v>0</v>
      </c>
      <c r="H14" s="155">
        <v>16657485075.590908</v>
      </c>
      <c r="I14" s="68">
        <v>0</v>
      </c>
      <c r="J14" s="63">
        <f t="shared" si="3"/>
        <v>13464980661.460001</v>
      </c>
      <c r="K14" s="68">
        <v>0</v>
      </c>
      <c r="L14" s="68"/>
      <c r="M14" s="12">
        <f t="shared" si="4"/>
        <v>20365800656.99091</v>
      </c>
      <c r="N14" s="68">
        <f t="shared" si="5"/>
        <v>0</v>
      </c>
      <c r="O14" s="12"/>
    </row>
    <row r="15" spans="1:20" x14ac:dyDescent="0.25">
      <c r="A15" s="11" t="s">
        <v>18</v>
      </c>
      <c r="B15" s="63">
        <v>406562232</v>
      </c>
      <c r="C15" s="68">
        <v>0</v>
      </c>
      <c r="D15" s="63">
        <v>4015319434.5100002</v>
      </c>
      <c r="E15" s="68">
        <v>0</v>
      </c>
      <c r="F15" s="155">
        <v>15652530842.1</v>
      </c>
      <c r="G15" s="68">
        <v>0</v>
      </c>
      <c r="H15" s="155">
        <v>16278323685.369999</v>
      </c>
      <c r="I15" s="68">
        <v>0</v>
      </c>
      <c r="J15" s="63">
        <f t="shared" si="3"/>
        <v>16059093074.1</v>
      </c>
      <c r="K15" s="68">
        <v>0</v>
      </c>
      <c r="L15" s="68"/>
      <c r="M15" s="12">
        <f t="shared" si="4"/>
        <v>20293643119.879997</v>
      </c>
      <c r="N15" s="68">
        <f t="shared" si="5"/>
        <v>0</v>
      </c>
      <c r="O15" s="12"/>
    </row>
    <row r="16" spans="1:20" s="119" customFormat="1" x14ac:dyDescent="0.25">
      <c r="A16" s="164" t="s">
        <v>19</v>
      </c>
      <c r="B16" s="165">
        <v>20729154752.705002</v>
      </c>
      <c r="C16" s="68">
        <v>0</v>
      </c>
      <c r="D16" s="165">
        <v>14401085242.9755</v>
      </c>
      <c r="E16" s="68">
        <v>0</v>
      </c>
      <c r="F16" s="167">
        <v>19299215235.088001</v>
      </c>
      <c r="G16" s="68">
        <v>0</v>
      </c>
      <c r="H16" s="167">
        <v>14246699934.99</v>
      </c>
      <c r="I16" s="166">
        <v>0</v>
      </c>
      <c r="J16" s="165">
        <f t="shared" si="3"/>
        <v>40028369987.792999</v>
      </c>
      <c r="K16" s="68">
        <v>0</v>
      </c>
      <c r="L16" s="166"/>
      <c r="M16" s="168">
        <f t="shared" si="4"/>
        <v>28647785177.9655</v>
      </c>
      <c r="N16" s="166">
        <f t="shared" si="5"/>
        <v>0</v>
      </c>
      <c r="O16" s="168"/>
    </row>
    <row r="17" spans="1:15" x14ac:dyDescent="0.25">
      <c r="A17" s="11" t="s">
        <v>20</v>
      </c>
      <c r="B17" s="63">
        <v>11604606878</v>
      </c>
      <c r="C17" s="68">
        <v>0</v>
      </c>
      <c r="D17" s="63">
        <v>13068886310.983334</v>
      </c>
      <c r="E17" s="68">
        <v>0</v>
      </c>
      <c r="F17" s="155">
        <v>7282700903.2378559</v>
      </c>
      <c r="G17" s="68">
        <v>0</v>
      </c>
      <c r="H17" s="155">
        <v>14970965206.24</v>
      </c>
      <c r="I17" s="68"/>
      <c r="J17" s="63">
        <f t="shared" si="3"/>
        <v>18887307781.237854</v>
      </c>
      <c r="K17" s="68">
        <f t="shared" ref="K17:K21" si="6">C17+G17</f>
        <v>0</v>
      </c>
      <c r="L17" s="68"/>
      <c r="M17" s="12">
        <f t="shared" si="4"/>
        <v>28039851517.223335</v>
      </c>
      <c r="N17" s="68">
        <f t="shared" si="5"/>
        <v>0</v>
      </c>
      <c r="O17" s="12"/>
    </row>
    <row r="18" spans="1:15" x14ac:dyDescent="0.25">
      <c r="A18" s="11" t="s">
        <v>21</v>
      </c>
      <c r="B18" s="63">
        <v>10167411047</v>
      </c>
      <c r="C18" s="68">
        <v>0</v>
      </c>
      <c r="D18" s="63">
        <v>16747500047.983334</v>
      </c>
      <c r="E18" s="68">
        <v>0</v>
      </c>
      <c r="F18" s="155">
        <v>30389006142.023998</v>
      </c>
      <c r="G18" s="68">
        <v>0</v>
      </c>
      <c r="H18" s="155">
        <v>15537141856</v>
      </c>
      <c r="I18" s="68"/>
      <c r="J18" s="63">
        <f t="shared" si="3"/>
        <v>40556417189.024002</v>
      </c>
      <c r="K18" s="68">
        <f t="shared" si="6"/>
        <v>0</v>
      </c>
      <c r="L18" s="68"/>
      <c r="M18" s="12">
        <f t="shared" si="4"/>
        <v>32284641903.983334</v>
      </c>
      <c r="N18" s="68">
        <f t="shared" si="5"/>
        <v>0</v>
      </c>
      <c r="O18" s="12"/>
    </row>
    <row r="19" spans="1:15" x14ac:dyDescent="0.25">
      <c r="A19" s="11" t="s">
        <v>22</v>
      </c>
      <c r="B19" s="63">
        <v>9802396917</v>
      </c>
      <c r="C19" s="68">
        <v>0</v>
      </c>
      <c r="D19" s="63">
        <v>17165285935.183332</v>
      </c>
      <c r="E19" s="68">
        <v>0</v>
      </c>
      <c r="F19" s="155">
        <v>13701732621.47934</v>
      </c>
      <c r="G19" s="68">
        <v>0</v>
      </c>
      <c r="H19" s="155">
        <v>16417466717.424242</v>
      </c>
      <c r="I19" s="68"/>
      <c r="J19" s="63">
        <f t="shared" si="3"/>
        <v>23504129538.47934</v>
      </c>
      <c r="K19" s="68">
        <f t="shared" si="6"/>
        <v>0</v>
      </c>
      <c r="L19" s="68"/>
      <c r="M19" s="12">
        <f t="shared" si="4"/>
        <v>33582752652.607574</v>
      </c>
      <c r="N19" s="68">
        <f t="shared" si="5"/>
        <v>0</v>
      </c>
      <c r="O19" s="12"/>
    </row>
    <row r="20" spans="1:15" x14ac:dyDescent="0.25">
      <c r="A20" s="57" t="s">
        <v>23</v>
      </c>
      <c r="B20" s="64">
        <v>10361535589</v>
      </c>
      <c r="C20" s="68">
        <v>0</v>
      </c>
      <c r="D20" s="64">
        <v>17720776739.183334</v>
      </c>
      <c r="E20" s="68">
        <v>0</v>
      </c>
      <c r="F20" s="156">
        <v>11255172993.197281</v>
      </c>
      <c r="G20" s="68">
        <v>0</v>
      </c>
      <c r="H20" s="156">
        <v>17572472501</v>
      </c>
      <c r="I20" s="68"/>
      <c r="J20" s="63">
        <f t="shared" si="3"/>
        <v>21616708582.197281</v>
      </c>
      <c r="K20" s="68">
        <f t="shared" si="6"/>
        <v>0</v>
      </c>
      <c r="L20" s="68"/>
      <c r="M20" s="12">
        <f t="shared" si="4"/>
        <v>35293249240.183334</v>
      </c>
      <c r="N20" s="68">
        <f t="shared" si="5"/>
        <v>0</v>
      </c>
      <c r="O20" s="12"/>
    </row>
    <row r="21" spans="1:15" x14ac:dyDescent="0.25">
      <c r="A21" s="11" t="s">
        <v>24</v>
      </c>
      <c r="B21" s="63">
        <v>10130342765.275</v>
      </c>
      <c r="C21" s="68">
        <v>0</v>
      </c>
      <c r="D21" s="63">
        <v>15717083045.538332</v>
      </c>
      <c r="E21" s="68">
        <v>0</v>
      </c>
      <c r="F21" s="155">
        <v>21131065418.440937</v>
      </c>
      <c r="G21" s="68">
        <v>0</v>
      </c>
      <c r="H21" s="155">
        <v>40153596579</v>
      </c>
      <c r="I21" s="68"/>
      <c r="J21" s="63">
        <f t="shared" si="3"/>
        <v>31261408183.715935</v>
      </c>
      <c r="K21" s="68">
        <f t="shared" si="6"/>
        <v>0</v>
      </c>
      <c r="L21" s="68"/>
      <c r="M21" s="12">
        <f t="shared" si="4"/>
        <v>55870679624.53833</v>
      </c>
      <c r="N21" s="68">
        <f t="shared" si="5"/>
        <v>0</v>
      </c>
      <c r="O21" s="12"/>
    </row>
    <row r="22" spans="1:15" x14ac:dyDescent="0.25">
      <c r="A22" s="49"/>
      <c r="B22" s="50"/>
      <c r="C22" s="101">
        <v>42877998857.889999</v>
      </c>
      <c r="E22" s="101">
        <v>23945012371.219997</v>
      </c>
      <c r="F22" s="141"/>
      <c r="G22" s="101">
        <v>97965189407.820007</v>
      </c>
      <c r="H22" s="139"/>
      <c r="I22" s="101">
        <v>40990447668.979996</v>
      </c>
      <c r="J22" s="50"/>
      <c r="K22" s="140"/>
      <c r="L22" s="140"/>
      <c r="M22" s="60"/>
      <c r="N22" s="140"/>
      <c r="O22" s="60"/>
    </row>
    <row r="23" spans="1:15" x14ac:dyDescent="0.25">
      <c r="A23" s="142"/>
      <c r="B23" s="142"/>
      <c r="C23" s="59">
        <f>C22-C9</f>
        <v>42877998857.889999</v>
      </c>
      <c r="D23" s="59"/>
      <c r="E23" s="59">
        <f>E22-E9</f>
        <v>23945012371.219997</v>
      </c>
      <c r="F23" s="59"/>
      <c r="G23" s="59">
        <f>G22-G9</f>
        <v>97965189407.820007</v>
      </c>
      <c r="H23" s="151">
        <f>H29-I29</f>
        <v>0.29049461889855571</v>
      </c>
      <c r="I23" s="59">
        <f>I22-I9</f>
        <v>40990447668.979996</v>
      </c>
      <c r="J23" s="59"/>
      <c r="K23" s="59"/>
      <c r="L23" s="59"/>
      <c r="M23" s="59"/>
      <c r="N23" s="59"/>
      <c r="O23" s="59"/>
    </row>
    <row r="24" spans="1:15" ht="30" x14ac:dyDescent="0.25">
      <c r="A24" s="13" t="s">
        <v>25</v>
      </c>
      <c r="B24" s="56">
        <f>SUM(B10:B21)/$B$6</f>
        <v>1</v>
      </c>
      <c r="C24" s="14">
        <f>SUM(C10:C21)/B6</f>
        <v>0</v>
      </c>
      <c r="D24" s="56">
        <f>SUM(D10:D21)/$B$6</f>
        <v>1.0000000000000004</v>
      </c>
      <c r="E24" s="14">
        <f>SUM(E10:E21)/$B$6</f>
        <v>0</v>
      </c>
      <c r="F24" s="56">
        <f>SUM(F10:F21)/$F$6</f>
        <v>1.0000000000019793</v>
      </c>
      <c r="G24" s="14">
        <f>SUM(G10:G21)/$F$6</f>
        <v>0</v>
      </c>
      <c r="H24" s="56">
        <f>SUM(H10:H21)/$F$6</f>
        <v>0.99999999999956124</v>
      </c>
      <c r="I24" s="14">
        <f>SUM(I10:I21)/$F$6</f>
        <v>0</v>
      </c>
      <c r="J24" s="14">
        <f>SUM(J10:J21)/$J$6</f>
        <v>1.0000000000012845</v>
      </c>
      <c r="K24" s="14">
        <f>SUM(K10:K21)/$J$6</f>
        <v>0</v>
      </c>
      <c r="L24" s="14"/>
      <c r="M24" s="56">
        <f>SUM(M10:M21)/$J$6</f>
        <v>0.99999999999971512</v>
      </c>
      <c r="N24" s="14">
        <f>SUM(N10:N21)/$J$6</f>
        <v>0</v>
      </c>
      <c r="O24" s="67">
        <f>(N24-M24)*-1</f>
        <v>0.99999999999971512</v>
      </c>
    </row>
    <row r="25" spans="1:15" ht="45" x14ac:dyDescent="0.25">
      <c r="A25" s="13"/>
      <c r="B25" s="61" t="s">
        <v>29</v>
      </c>
      <c r="C25" s="52" t="s">
        <v>30</v>
      </c>
      <c r="D25" s="61" t="s">
        <v>10</v>
      </c>
      <c r="E25" s="52" t="s">
        <v>31</v>
      </c>
      <c r="F25" s="61" t="s">
        <v>29</v>
      </c>
      <c r="G25" s="52" t="s">
        <v>30</v>
      </c>
      <c r="H25" s="61" t="s">
        <v>10</v>
      </c>
      <c r="I25" s="52" t="s">
        <v>31</v>
      </c>
      <c r="J25" s="53" t="s">
        <v>8</v>
      </c>
      <c r="K25" s="65" t="s">
        <v>9</v>
      </c>
      <c r="L25" s="65"/>
      <c r="M25" s="53" t="s">
        <v>10</v>
      </c>
      <c r="N25" s="65" t="s">
        <v>11</v>
      </c>
      <c r="O25" s="67"/>
    </row>
    <row r="26" spans="1:15" x14ac:dyDescent="0.25">
      <c r="A26" s="15" t="s">
        <v>14</v>
      </c>
      <c r="B26" s="16">
        <f>B10/$B$6</f>
        <v>0.31393937580120773</v>
      </c>
      <c r="C26" s="71">
        <f>C10/$B$6</f>
        <v>0</v>
      </c>
      <c r="D26" s="16">
        <f>D10/$B$6</f>
        <v>1.6292693505850921E-2</v>
      </c>
      <c r="E26" s="71">
        <f>E10/$B$6</f>
        <v>0</v>
      </c>
      <c r="F26" s="16">
        <f>F10/$F$6</f>
        <v>7.2354629445467292E-2</v>
      </c>
      <c r="G26" s="71">
        <f>G10/$F$6</f>
        <v>0</v>
      </c>
      <c r="H26" s="16">
        <f>H10/$F$6</f>
        <v>8.8785046728971968E-7</v>
      </c>
      <c r="I26" s="71">
        <f>I10/$F$6</f>
        <v>0</v>
      </c>
      <c r="J26" s="73">
        <f>J10/$J$6</f>
        <v>0.1571220421447361</v>
      </c>
      <c r="K26" s="71">
        <f>K10/$J$6</f>
        <v>0</v>
      </c>
      <c r="L26" s="75">
        <f t="shared" ref="L26:L37" si="7">(K26-J26)*-1</f>
        <v>0.1571220421447361</v>
      </c>
      <c r="M26" s="16">
        <f>M10/$J$6</f>
        <v>5.7173671995922673E-3</v>
      </c>
      <c r="N26" s="71">
        <f>N10/$J$6</f>
        <v>0</v>
      </c>
      <c r="O26" s="69">
        <f t="shared" ref="O26:O37" si="8">(N26-M26)*-1</f>
        <v>5.7173671995922673E-3</v>
      </c>
    </row>
    <row r="27" spans="1:15" x14ac:dyDescent="0.25">
      <c r="A27" s="15" t="s">
        <v>15</v>
      </c>
      <c r="B27" s="16">
        <f t="shared" ref="B27:B37" si="9">(B11/$B$6)+B26</f>
        <v>0.34301305125957549</v>
      </c>
      <c r="C27" s="71">
        <f t="shared" ref="C27:C37" si="10">(C11/$B$6)+C26</f>
        <v>0</v>
      </c>
      <c r="D27" s="16">
        <f t="shared" ref="D27:D37" si="11">(D11/$B$6)+D26</f>
        <v>4.6541896029823573E-2</v>
      </c>
      <c r="E27" s="71">
        <f t="shared" ref="E27:E37" si="12">(E11/$B$6)+E26</f>
        <v>0</v>
      </c>
      <c r="F27" s="16">
        <f t="shared" ref="F27:F37" si="13">(F11/$F$6)+F26</f>
        <v>0.19024900752992574</v>
      </c>
      <c r="G27" s="71">
        <f t="shared" ref="G27:G37" si="14">(G11/$F$6)+G26</f>
        <v>0</v>
      </c>
      <c r="H27" s="16">
        <f t="shared" ref="H27:H37" si="15">(H11/$F$6)+H26</f>
        <v>0.10371268305140187</v>
      </c>
      <c r="I27" s="71">
        <f t="shared" ref="I27:I37" si="16">(I11/$F$6)+I26</f>
        <v>0</v>
      </c>
      <c r="J27" s="73">
        <f t="shared" ref="J27:J37" si="17">(J11/$J$6)+J26</f>
        <v>0.24385095440686963</v>
      </c>
      <c r="K27" s="71">
        <f t="shared" ref="K27:K37" si="18">(K11/$J$6)+K26</f>
        <v>0</v>
      </c>
      <c r="L27" s="73">
        <f t="shared" si="7"/>
        <v>0.24385095440686963</v>
      </c>
      <c r="M27" s="16">
        <f t="shared" ref="M27:M37" si="19">(M11/$J$6)+M26</f>
        <v>8.3652560171524643E-2</v>
      </c>
      <c r="N27" s="71">
        <f t="shared" ref="N27:N37" si="20">(N11/$J$6)+N26</f>
        <v>0</v>
      </c>
      <c r="O27" s="16">
        <f t="shared" si="8"/>
        <v>8.3652560171524643E-2</v>
      </c>
    </row>
    <row r="28" spans="1:15" x14ac:dyDescent="0.25">
      <c r="A28" s="15" t="s">
        <v>16</v>
      </c>
      <c r="B28" s="16">
        <f t="shared" si="9"/>
        <v>0.35298664246488193</v>
      </c>
      <c r="C28" s="71">
        <f t="shared" si="10"/>
        <v>0</v>
      </c>
      <c r="D28" s="16">
        <f t="shared" si="11"/>
        <v>8.3249071800556268E-2</v>
      </c>
      <c r="E28" s="71">
        <f t="shared" si="12"/>
        <v>0</v>
      </c>
      <c r="F28" s="16">
        <f t="shared" si="13"/>
        <v>0.30561466377096314</v>
      </c>
      <c r="G28" s="71">
        <f t="shared" si="14"/>
        <v>0</v>
      </c>
      <c r="H28" s="16">
        <f t="shared" si="15"/>
        <v>0.22075497501537814</v>
      </c>
      <c r="I28" s="71">
        <f t="shared" si="16"/>
        <v>0</v>
      </c>
      <c r="J28" s="73">
        <f t="shared" si="17"/>
        <v>0.32223657442096454</v>
      </c>
      <c r="K28" s="71">
        <f t="shared" si="18"/>
        <v>0</v>
      </c>
      <c r="L28" s="73">
        <f t="shared" si="7"/>
        <v>0.32223657442096454</v>
      </c>
      <c r="M28" s="16">
        <f t="shared" si="19"/>
        <v>0.17250681439172397</v>
      </c>
      <c r="N28" s="71">
        <f t="shared" si="20"/>
        <v>0</v>
      </c>
      <c r="O28" s="16">
        <f t="shared" si="8"/>
        <v>0.17250681439172397</v>
      </c>
    </row>
    <row r="29" spans="1:15" x14ac:dyDescent="0.25">
      <c r="A29" s="15" t="s">
        <v>17</v>
      </c>
      <c r="B29" s="16">
        <f t="shared" si="9"/>
        <v>0.3567066363367275</v>
      </c>
      <c r="C29" s="71">
        <f t="shared" si="10"/>
        <v>0</v>
      </c>
      <c r="D29" s="16">
        <f t="shared" si="11"/>
        <v>0.11353276680109163</v>
      </c>
      <c r="E29" s="71">
        <f t="shared" si="12"/>
        <v>0</v>
      </c>
      <c r="F29" s="16">
        <f t="shared" si="13"/>
        <v>0.38801919994745848</v>
      </c>
      <c r="G29" s="71">
        <f t="shared" si="14"/>
        <v>0</v>
      </c>
      <c r="H29" s="16">
        <f t="shared" si="15"/>
        <v>0.29049461889855571</v>
      </c>
      <c r="I29" s="71">
        <f t="shared" si="16"/>
        <v>0</v>
      </c>
      <c r="J29" s="73">
        <f t="shared" si="17"/>
        <v>0.37703222729168306</v>
      </c>
      <c r="K29" s="71">
        <f t="shared" si="18"/>
        <v>0</v>
      </c>
      <c r="L29" s="73">
        <f t="shared" si="7"/>
        <v>0.37703222729168306</v>
      </c>
      <c r="M29" s="16">
        <f t="shared" si="19"/>
        <v>0.22840212930617104</v>
      </c>
      <c r="N29" s="71">
        <f t="shared" si="20"/>
        <v>0</v>
      </c>
      <c r="O29" s="16">
        <f t="shared" si="8"/>
        <v>0.22840212930617104</v>
      </c>
    </row>
    <row r="30" spans="1:15" x14ac:dyDescent="0.25">
      <c r="A30" s="15" t="s">
        <v>12</v>
      </c>
      <c r="B30" s="16">
        <f t="shared" si="9"/>
        <v>0.367188487405466</v>
      </c>
      <c r="C30" s="71">
        <f t="shared" si="10"/>
        <v>0</v>
      </c>
      <c r="D30" s="16">
        <f t="shared" si="11"/>
        <v>0.14559014864677958</v>
      </c>
      <c r="E30" s="71">
        <f t="shared" si="12"/>
        <v>0</v>
      </c>
      <c r="F30" s="16">
        <f t="shared" si="13"/>
        <v>0.44527371890119682</v>
      </c>
      <c r="G30" s="71">
        <f t="shared" si="14"/>
        <v>0</v>
      </c>
      <c r="H30" s="16">
        <f t="shared" si="15"/>
        <v>0.36833333420505526</v>
      </c>
      <c r="I30" s="71">
        <f t="shared" si="16"/>
        <v>0</v>
      </c>
      <c r="J30" s="73">
        <f t="shared" si="17"/>
        <v>0.4178751221612777</v>
      </c>
      <c r="K30" s="71">
        <f t="shared" si="18"/>
        <v>0</v>
      </c>
      <c r="L30" s="73">
        <f t="shared" si="7"/>
        <v>0.4178751221612777</v>
      </c>
      <c r="M30" s="16">
        <f t="shared" si="19"/>
        <v>0.29017706059511128</v>
      </c>
      <c r="N30" s="71">
        <f t="shared" si="20"/>
        <v>0</v>
      </c>
      <c r="O30" s="16">
        <f t="shared" si="8"/>
        <v>0.29017706059511128</v>
      </c>
    </row>
    <row r="31" spans="1:15" x14ac:dyDescent="0.25">
      <c r="A31" s="15" t="s">
        <v>18</v>
      </c>
      <c r="B31" s="16">
        <f t="shared" si="9"/>
        <v>0.3707031075690333</v>
      </c>
      <c r="C31" s="71">
        <f t="shared" si="10"/>
        <v>0</v>
      </c>
      <c r="D31" s="16">
        <f t="shared" si="11"/>
        <v>0.1803014954884912</v>
      </c>
      <c r="E31" s="71">
        <f t="shared" si="12"/>
        <v>0</v>
      </c>
      <c r="F31" s="16">
        <f t="shared" si="13"/>
        <v>0.51841638638764542</v>
      </c>
      <c r="G31" s="71">
        <f t="shared" si="14"/>
        <v>0</v>
      </c>
      <c r="H31" s="16">
        <f t="shared" si="15"/>
        <v>0.44440026731426086</v>
      </c>
      <c r="I31" s="71">
        <f t="shared" si="16"/>
        <v>0</v>
      </c>
      <c r="J31" s="73">
        <f t="shared" si="17"/>
        <v>0.46658665518292131</v>
      </c>
      <c r="K31" s="71">
        <f t="shared" si="18"/>
        <v>0</v>
      </c>
      <c r="L31" s="73">
        <f t="shared" si="7"/>
        <v>0.46658665518292131</v>
      </c>
      <c r="M31" s="16">
        <f t="shared" si="19"/>
        <v>0.35173311873626417</v>
      </c>
      <c r="N31" s="71">
        <f t="shared" si="20"/>
        <v>0</v>
      </c>
      <c r="O31" s="16">
        <f t="shared" si="8"/>
        <v>0.35173311873626417</v>
      </c>
    </row>
    <row r="32" spans="1:15" s="119" customFormat="1" x14ac:dyDescent="0.25">
      <c r="A32" s="116" t="s">
        <v>19</v>
      </c>
      <c r="B32" s="117">
        <f t="shared" si="9"/>
        <v>0.54990102496821658</v>
      </c>
      <c r="C32" s="118">
        <f t="shared" si="10"/>
        <v>0</v>
      </c>
      <c r="D32" s="117">
        <f t="shared" si="11"/>
        <v>0.30479496927533556</v>
      </c>
      <c r="E32" s="118">
        <f t="shared" si="12"/>
        <v>0</v>
      </c>
      <c r="F32" s="117">
        <f t="shared" si="13"/>
        <v>0.60859963514973892</v>
      </c>
      <c r="G32" s="118">
        <f t="shared" si="14"/>
        <v>0</v>
      </c>
      <c r="H32" s="117">
        <f t="shared" si="15"/>
        <v>0.51097363149645714</v>
      </c>
      <c r="I32" s="118">
        <f t="shared" si="16"/>
        <v>0</v>
      </c>
      <c r="J32" s="169">
        <f t="shared" si="17"/>
        <v>0.58800342868725086</v>
      </c>
      <c r="K32" s="118">
        <f t="shared" si="18"/>
        <v>0</v>
      </c>
      <c r="L32" s="169">
        <f t="shared" si="7"/>
        <v>0.58800342868725086</v>
      </c>
      <c r="M32" s="117">
        <f t="shared" si="19"/>
        <v>0.43862952859293508</v>
      </c>
      <c r="N32" s="118">
        <f t="shared" si="20"/>
        <v>0</v>
      </c>
      <c r="O32" s="117">
        <f t="shared" si="8"/>
        <v>0.43862952859293508</v>
      </c>
    </row>
    <row r="33" spans="1:16" x14ac:dyDescent="0.25">
      <c r="A33" s="15" t="s">
        <v>20</v>
      </c>
      <c r="B33" s="16">
        <f t="shared" si="9"/>
        <v>0.65021970219274139</v>
      </c>
      <c r="C33" s="71">
        <f t="shared" si="10"/>
        <v>0</v>
      </c>
      <c r="D33" s="16">
        <f t="shared" si="11"/>
        <v>0.41777194482467894</v>
      </c>
      <c r="E33" s="71">
        <f t="shared" si="12"/>
        <v>0</v>
      </c>
      <c r="F33" s="16">
        <f t="shared" si="13"/>
        <v>0.6426309477816915</v>
      </c>
      <c r="G33" s="71">
        <f t="shared" si="14"/>
        <v>0</v>
      </c>
      <c r="H33" s="16">
        <f t="shared" si="15"/>
        <v>0.58093141283402727</v>
      </c>
      <c r="I33" s="71">
        <f t="shared" si="16"/>
        <v>0</v>
      </c>
      <c r="J33" s="73">
        <f t="shared" si="17"/>
        <v>0.64529369485798083</v>
      </c>
      <c r="K33" s="71">
        <f t="shared" si="18"/>
        <v>0</v>
      </c>
      <c r="L33" s="73">
        <f t="shared" si="7"/>
        <v>0.64529369485798083</v>
      </c>
      <c r="M33" s="16">
        <f t="shared" si="19"/>
        <v>0.52368191273448195</v>
      </c>
      <c r="N33" s="71">
        <f t="shared" si="20"/>
        <v>0</v>
      </c>
      <c r="O33" s="16">
        <f t="shared" si="8"/>
        <v>0.52368191273448195</v>
      </c>
      <c r="P33" s="120"/>
    </row>
    <row r="34" spans="1:16" x14ac:dyDescent="0.25">
      <c r="A34" s="15" t="s">
        <v>21</v>
      </c>
      <c r="B34" s="16">
        <f t="shared" si="9"/>
        <v>0.73811421148169798</v>
      </c>
      <c r="C34" s="71">
        <f t="shared" si="10"/>
        <v>0</v>
      </c>
      <c r="D34" s="16">
        <f t="shared" si="11"/>
        <v>0.56254953783530137</v>
      </c>
      <c r="E34" s="71">
        <f t="shared" si="12"/>
        <v>0</v>
      </c>
      <c r="F34" s="16">
        <f t="shared" si="13"/>
        <v>0.78463564937993446</v>
      </c>
      <c r="G34" s="71">
        <f t="shared" si="14"/>
        <v>0</v>
      </c>
      <c r="H34" s="16">
        <f t="shared" si="15"/>
        <v>0.65353487945084976</v>
      </c>
      <c r="I34" s="71">
        <f t="shared" si="16"/>
        <v>0</v>
      </c>
      <c r="J34" s="73">
        <f t="shared" si="17"/>
        <v>0.7683121770367084</v>
      </c>
      <c r="K34" s="71">
        <f t="shared" si="18"/>
        <v>0</v>
      </c>
      <c r="L34" s="73">
        <f t="shared" si="7"/>
        <v>0.7683121770367084</v>
      </c>
      <c r="M34" s="16">
        <f t="shared" si="19"/>
        <v>0.62160988369407233</v>
      </c>
      <c r="N34" s="71">
        <f t="shared" si="20"/>
        <v>0</v>
      </c>
      <c r="O34" s="16">
        <f t="shared" si="8"/>
        <v>0.62160988369407233</v>
      </c>
    </row>
    <row r="35" spans="1:16" x14ac:dyDescent="0.25">
      <c r="A35" s="15" t="s">
        <v>22</v>
      </c>
      <c r="B35" s="16">
        <f t="shared" si="9"/>
        <v>0.82285327267363373</v>
      </c>
      <c r="C35" s="71">
        <f t="shared" si="10"/>
        <v>0</v>
      </c>
      <c r="D35" s="16">
        <f t="shared" si="11"/>
        <v>0.7109387764628412</v>
      </c>
      <c r="E35" s="71">
        <f t="shared" si="12"/>
        <v>0</v>
      </c>
      <c r="F35" s="16">
        <f t="shared" si="13"/>
        <v>0.84866243733077251</v>
      </c>
      <c r="G35" s="71">
        <f t="shared" si="14"/>
        <v>0</v>
      </c>
      <c r="H35" s="16">
        <f t="shared" si="15"/>
        <v>0.73025201364442094</v>
      </c>
      <c r="I35" s="71">
        <f t="shared" si="16"/>
        <v>0</v>
      </c>
      <c r="J35" s="73">
        <f t="shared" si="17"/>
        <v>0.83960650087403321</v>
      </c>
      <c r="K35" s="71">
        <f t="shared" si="18"/>
        <v>0</v>
      </c>
      <c r="L35" s="73">
        <f t="shared" si="7"/>
        <v>0.83960650087403321</v>
      </c>
      <c r="M35" s="16">
        <f t="shared" si="19"/>
        <v>0.72347537243910609</v>
      </c>
      <c r="N35" s="71">
        <f t="shared" si="20"/>
        <v>0</v>
      </c>
      <c r="O35" s="16">
        <f t="shared" si="8"/>
        <v>0.72347537243910609</v>
      </c>
    </row>
    <row r="36" spans="1:16" x14ac:dyDescent="0.25">
      <c r="A36" s="15" t="s">
        <v>23</v>
      </c>
      <c r="B36" s="16">
        <f t="shared" si="9"/>
        <v>0.91242593594703736</v>
      </c>
      <c r="C36" s="71">
        <f t="shared" si="10"/>
        <v>0</v>
      </c>
      <c r="D36" s="16">
        <f t="shared" si="11"/>
        <v>0.86413008234294031</v>
      </c>
      <c r="E36" s="71">
        <f t="shared" si="12"/>
        <v>0</v>
      </c>
      <c r="F36" s="16">
        <f t="shared" si="13"/>
        <v>0.90125670365412425</v>
      </c>
      <c r="G36" s="71">
        <f t="shared" si="14"/>
        <v>0</v>
      </c>
      <c r="H36" s="16">
        <f t="shared" si="15"/>
        <v>0.8123663711257294</v>
      </c>
      <c r="I36" s="71">
        <f t="shared" si="16"/>
        <v>0</v>
      </c>
      <c r="J36" s="73">
        <f t="shared" si="17"/>
        <v>0.9051757711349544</v>
      </c>
      <c r="K36" s="71">
        <f t="shared" si="18"/>
        <v>0</v>
      </c>
      <c r="L36" s="73">
        <f t="shared" si="7"/>
        <v>0.9051757711349544</v>
      </c>
      <c r="M36" s="16">
        <f t="shared" si="19"/>
        <v>0.83052925573572789</v>
      </c>
      <c r="N36" s="71">
        <f t="shared" si="20"/>
        <v>0</v>
      </c>
      <c r="O36" s="16">
        <f t="shared" si="8"/>
        <v>0.83052925573572789</v>
      </c>
    </row>
    <row r="37" spans="1:16" x14ac:dyDescent="0.25">
      <c r="A37" s="15" t="s">
        <v>24</v>
      </c>
      <c r="B37" s="16">
        <f t="shared" si="9"/>
        <v>1</v>
      </c>
      <c r="C37" s="71">
        <f t="shared" si="10"/>
        <v>0</v>
      </c>
      <c r="D37" s="16">
        <f t="shared" si="11"/>
        <v>1.0000000000000002</v>
      </c>
      <c r="E37" s="71">
        <f t="shared" si="12"/>
        <v>0</v>
      </c>
      <c r="F37" s="16">
        <f t="shared" si="13"/>
        <v>1.0000000000019791</v>
      </c>
      <c r="G37" s="71">
        <f t="shared" si="14"/>
        <v>0</v>
      </c>
      <c r="H37" s="16">
        <f t="shared" si="15"/>
        <v>0.99999999999956124</v>
      </c>
      <c r="I37" s="71">
        <f t="shared" si="16"/>
        <v>0</v>
      </c>
      <c r="J37" s="73">
        <f t="shared" si="17"/>
        <v>1.0000000000012848</v>
      </c>
      <c r="K37" s="71">
        <f t="shared" si="18"/>
        <v>0</v>
      </c>
      <c r="L37" s="73">
        <f t="shared" si="7"/>
        <v>1.0000000000012848</v>
      </c>
      <c r="M37" s="16">
        <f t="shared" si="19"/>
        <v>0.99999999999971512</v>
      </c>
      <c r="N37" s="71">
        <f t="shared" si="20"/>
        <v>0</v>
      </c>
      <c r="O37" s="16">
        <f t="shared" si="8"/>
        <v>0.99999999999971512</v>
      </c>
    </row>
    <row r="39" spans="1:16" x14ac:dyDescent="0.25">
      <c r="A39" s="2">
        <v>1000000</v>
      </c>
    </row>
    <row r="40" spans="1:16" x14ac:dyDescent="0.25">
      <c r="A40" s="11" t="s">
        <v>14</v>
      </c>
      <c r="B40" s="51">
        <f>B10/$A$39</f>
        <v>36315.700530460002</v>
      </c>
      <c r="C40" s="103">
        <f>B26</f>
        <v>0.31393937580120773</v>
      </c>
      <c r="D40" s="51">
        <f t="shared" ref="D40:J40" si="21">D10/$A$39</f>
        <v>1884.6969313200002</v>
      </c>
      <c r="E40" s="103">
        <f>D26</f>
        <v>1.6292693505850921E-2</v>
      </c>
      <c r="F40" s="148">
        <f t="shared" si="21"/>
        <v>15483.89070133</v>
      </c>
      <c r="G40" s="150">
        <f>F26</f>
        <v>7.2354629445467292E-2</v>
      </c>
      <c r="H40" s="148">
        <f t="shared" si="21"/>
        <v>0.19</v>
      </c>
      <c r="I40" s="150">
        <f>H26</f>
        <v>8.8785046728971968E-7</v>
      </c>
      <c r="J40" s="51">
        <f t="shared" si="21"/>
        <v>51799.59123179</v>
      </c>
    </row>
    <row r="41" spans="1:16" x14ac:dyDescent="0.25">
      <c r="A41" s="11" t="s">
        <v>15</v>
      </c>
      <c r="B41" s="51">
        <f t="shared" ref="B41:J41" si="22">B11/$A$39</f>
        <v>3363.1680912000006</v>
      </c>
      <c r="C41" s="103">
        <f t="shared" ref="C41:C51" si="23">B27</f>
        <v>0.34301305125957549</v>
      </c>
      <c r="D41" s="51">
        <f t="shared" si="22"/>
        <v>3499.1500424000001</v>
      </c>
      <c r="E41" s="103">
        <f t="shared" ref="E41:E51" si="24">D27</f>
        <v>4.6541896029823573E-2</v>
      </c>
      <c r="F41" s="148">
        <f t="shared" si="22"/>
        <v>25229.396910074105</v>
      </c>
      <c r="G41" s="150">
        <f t="shared" ref="G41:G51" si="25">F27</f>
        <v>0.19024900752992574</v>
      </c>
      <c r="H41" s="148">
        <f t="shared" si="22"/>
        <v>22194.324173000001</v>
      </c>
      <c r="I41" s="150">
        <f t="shared" ref="I41:I51" si="26">H27</f>
        <v>0.10371268305140187</v>
      </c>
      <c r="J41" s="51">
        <f t="shared" si="22"/>
        <v>28592.565001274106</v>
      </c>
    </row>
    <row r="42" spans="1:16" s="147" customFormat="1" x14ac:dyDescent="0.25">
      <c r="A42" s="145" t="s">
        <v>16</v>
      </c>
      <c r="B42" s="110">
        <f t="shared" ref="B42:J42" si="27">B12/$A$39</f>
        <v>1153.7194099999999</v>
      </c>
      <c r="C42" s="146">
        <f t="shared" si="23"/>
        <v>0.35298664246488193</v>
      </c>
      <c r="D42" s="110">
        <f t="shared" si="27"/>
        <v>4246.1917980400003</v>
      </c>
      <c r="E42" s="146">
        <f t="shared" si="24"/>
        <v>8.3249071800556268E-2</v>
      </c>
      <c r="F42" s="149">
        <f t="shared" si="27"/>
        <v>24688.250435582002</v>
      </c>
      <c r="G42" s="150">
        <f t="shared" si="25"/>
        <v>0.30561466377096314</v>
      </c>
      <c r="H42" s="149">
        <f t="shared" si="27"/>
        <v>25047.05048029092</v>
      </c>
      <c r="I42" s="150">
        <f t="shared" si="26"/>
        <v>0.22075497501537814</v>
      </c>
      <c r="J42" s="110">
        <f t="shared" si="27"/>
        <v>25841.969845582</v>
      </c>
    </row>
    <row r="43" spans="1:16" x14ac:dyDescent="0.25">
      <c r="A43" s="11" t="s">
        <v>17</v>
      </c>
      <c r="B43" s="51">
        <f t="shared" ref="B43:J43" si="28">B13/$A$39</f>
        <v>430.31933500000002</v>
      </c>
      <c r="C43" s="103">
        <f t="shared" si="23"/>
        <v>0.3567066363367275</v>
      </c>
      <c r="D43" s="51">
        <f t="shared" si="28"/>
        <v>3503.1400434828797</v>
      </c>
      <c r="E43" s="103">
        <f t="shared" si="24"/>
        <v>0.11353276680109163</v>
      </c>
      <c r="F43" s="148">
        <f t="shared" si="28"/>
        <v>17634.57074177</v>
      </c>
      <c r="G43" s="150">
        <f t="shared" si="25"/>
        <v>0.38801919994745848</v>
      </c>
      <c r="H43" s="148">
        <f t="shared" si="28"/>
        <v>14924.283791</v>
      </c>
      <c r="I43" s="150">
        <f t="shared" si="26"/>
        <v>0.29049461889855571</v>
      </c>
      <c r="J43" s="51">
        <f t="shared" si="28"/>
        <v>18064.89007677</v>
      </c>
    </row>
    <row r="44" spans="1:16" x14ac:dyDescent="0.25">
      <c r="A44" s="11" t="s">
        <v>12</v>
      </c>
      <c r="B44" s="51">
        <f t="shared" ref="B44:J44" si="29">B14/$A$39</f>
        <v>1212.5136053600002</v>
      </c>
      <c r="C44" s="103">
        <f t="shared" si="23"/>
        <v>0.367188487405466</v>
      </c>
      <c r="D44" s="51">
        <f t="shared" si="29"/>
        <v>3708.3155814000002</v>
      </c>
      <c r="E44" s="103">
        <f t="shared" si="24"/>
        <v>0.14559014864677958</v>
      </c>
      <c r="F44" s="148">
        <f t="shared" si="29"/>
        <v>12252.4670561</v>
      </c>
      <c r="G44" s="150">
        <f t="shared" si="25"/>
        <v>0.44527371890119682</v>
      </c>
      <c r="H44" s="148">
        <f t="shared" si="29"/>
        <v>16657.485075590906</v>
      </c>
      <c r="I44" s="150">
        <f t="shared" si="26"/>
        <v>0.36833333420505526</v>
      </c>
      <c r="J44" s="51">
        <f t="shared" si="29"/>
        <v>13464.98066146</v>
      </c>
    </row>
    <row r="45" spans="1:16" x14ac:dyDescent="0.25">
      <c r="A45" s="11" t="s">
        <v>18</v>
      </c>
      <c r="B45" s="51">
        <f t="shared" ref="B45:J45" si="30">B15/$A$39</f>
        <v>406.56223199999999</v>
      </c>
      <c r="C45" s="103">
        <f t="shared" si="23"/>
        <v>0.3707031075690333</v>
      </c>
      <c r="D45" s="51">
        <f t="shared" si="30"/>
        <v>4015.3194345100001</v>
      </c>
      <c r="E45" s="103">
        <f t="shared" si="24"/>
        <v>0.1803014954884912</v>
      </c>
      <c r="F45" s="148">
        <f t="shared" si="30"/>
        <v>15652.530842100001</v>
      </c>
      <c r="G45" s="150">
        <f t="shared" si="25"/>
        <v>0.51841638638764542</v>
      </c>
      <c r="H45" s="148">
        <f t="shared" si="30"/>
        <v>16278.323685369998</v>
      </c>
      <c r="I45" s="150">
        <f t="shared" si="26"/>
        <v>0.44440026731426086</v>
      </c>
      <c r="J45" s="51">
        <f t="shared" si="30"/>
        <v>16059.093074100001</v>
      </c>
    </row>
    <row r="46" spans="1:16" x14ac:dyDescent="0.25">
      <c r="A46" s="11" t="s">
        <v>19</v>
      </c>
      <c r="B46" s="51">
        <f t="shared" ref="B46:J46" si="31">B16/$A$39</f>
        <v>20729.154752705002</v>
      </c>
      <c r="C46" s="103">
        <f t="shared" si="23"/>
        <v>0.54990102496821658</v>
      </c>
      <c r="D46" s="51">
        <f t="shared" si="31"/>
        <v>14401.0852429755</v>
      </c>
      <c r="E46" s="103">
        <f t="shared" si="24"/>
        <v>0.30479496927533556</v>
      </c>
      <c r="F46" s="148">
        <f t="shared" si="31"/>
        <v>19299.215235088002</v>
      </c>
      <c r="G46" s="150">
        <f t="shared" si="25"/>
        <v>0.60859963514973892</v>
      </c>
      <c r="H46" s="148">
        <f t="shared" si="31"/>
        <v>14246.69993499</v>
      </c>
      <c r="I46" s="150">
        <f t="shared" si="26"/>
        <v>0.51097363149645714</v>
      </c>
      <c r="J46" s="51">
        <f t="shared" si="31"/>
        <v>40028.369987792998</v>
      </c>
    </row>
    <row r="47" spans="1:16" x14ac:dyDescent="0.25">
      <c r="A47" s="11" t="s">
        <v>20</v>
      </c>
      <c r="B47" s="51">
        <f t="shared" ref="B47:J47" si="32">B17/$A$39</f>
        <v>11604.606878000001</v>
      </c>
      <c r="C47" s="103">
        <f t="shared" si="23"/>
        <v>0.65021970219274139</v>
      </c>
      <c r="D47" s="51">
        <f t="shared" si="32"/>
        <v>13068.886310983333</v>
      </c>
      <c r="E47" s="103">
        <f t="shared" si="24"/>
        <v>0.41777194482467894</v>
      </c>
      <c r="F47" s="148">
        <f t="shared" si="32"/>
        <v>7282.7009032378555</v>
      </c>
      <c r="G47" s="150">
        <f t="shared" si="25"/>
        <v>0.6426309477816915</v>
      </c>
      <c r="H47" s="148">
        <f t="shared" si="32"/>
        <v>14970.96520624</v>
      </c>
      <c r="I47" s="150">
        <f t="shared" si="26"/>
        <v>0.58093141283402727</v>
      </c>
      <c r="J47" s="51">
        <f t="shared" si="32"/>
        <v>18887.307781237854</v>
      </c>
    </row>
    <row r="48" spans="1:16" x14ac:dyDescent="0.25">
      <c r="A48" s="11" t="s">
        <v>21</v>
      </c>
      <c r="B48" s="51">
        <f t="shared" ref="B48:J48" si="33">B18/$A$39</f>
        <v>10167.411047</v>
      </c>
      <c r="C48" s="103">
        <f t="shared" si="23"/>
        <v>0.73811421148169798</v>
      </c>
      <c r="D48" s="51">
        <f t="shared" si="33"/>
        <v>16747.500047983332</v>
      </c>
      <c r="E48" s="103">
        <f t="shared" si="24"/>
        <v>0.56254953783530137</v>
      </c>
      <c r="F48" s="148">
        <f t="shared" si="33"/>
        <v>30389.006142023998</v>
      </c>
      <c r="G48" s="150">
        <f t="shared" si="25"/>
        <v>0.78463564937993446</v>
      </c>
      <c r="H48" s="148">
        <f t="shared" si="33"/>
        <v>15537.141856</v>
      </c>
      <c r="I48" s="150">
        <f t="shared" si="26"/>
        <v>0.65353487945084976</v>
      </c>
      <c r="J48" s="51">
        <f t="shared" si="33"/>
        <v>40556.417189024003</v>
      </c>
    </row>
    <row r="49" spans="1:10" x14ac:dyDescent="0.25">
      <c r="A49" s="11" t="s">
        <v>22</v>
      </c>
      <c r="B49" s="51">
        <f t="shared" ref="B49:J49" si="34">B19/$A$39</f>
        <v>9802.396917</v>
      </c>
      <c r="C49" s="103">
        <f t="shared" si="23"/>
        <v>0.82285327267363373</v>
      </c>
      <c r="D49" s="51">
        <f t="shared" si="34"/>
        <v>17165.285935183332</v>
      </c>
      <c r="E49" s="103">
        <f t="shared" si="24"/>
        <v>0.7109387764628412</v>
      </c>
      <c r="F49" s="148">
        <f t="shared" si="34"/>
        <v>13701.732621479339</v>
      </c>
      <c r="G49" s="150">
        <f t="shared" si="25"/>
        <v>0.84866243733077251</v>
      </c>
      <c r="H49" s="148">
        <f t="shared" si="34"/>
        <v>16417.466717424242</v>
      </c>
      <c r="I49" s="150">
        <f t="shared" si="26"/>
        <v>0.73025201364442094</v>
      </c>
      <c r="J49" s="51">
        <f t="shared" si="34"/>
        <v>23504.129538479341</v>
      </c>
    </row>
    <row r="50" spans="1:10" x14ac:dyDescent="0.25">
      <c r="A50" s="57" t="s">
        <v>23</v>
      </c>
      <c r="B50" s="51">
        <f t="shared" ref="B50:J50" si="35">B20/$A$39</f>
        <v>10361.535588999999</v>
      </c>
      <c r="C50" s="103">
        <f t="shared" si="23"/>
        <v>0.91242593594703736</v>
      </c>
      <c r="D50" s="51">
        <f t="shared" si="35"/>
        <v>17720.776739183333</v>
      </c>
      <c r="E50" s="103">
        <f t="shared" si="24"/>
        <v>0.86413008234294031</v>
      </c>
      <c r="F50" s="148">
        <f t="shared" si="35"/>
        <v>11255.17299319728</v>
      </c>
      <c r="G50" s="150">
        <f t="shared" si="25"/>
        <v>0.90125670365412425</v>
      </c>
      <c r="H50" s="148">
        <f t="shared" si="35"/>
        <v>17572.472501</v>
      </c>
      <c r="I50" s="150">
        <f t="shared" si="26"/>
        <v>0.8123663711257294</v>
      </c>
      <c r="J50" s="51">
        <f t="shared" si="35"/>
        <v>21616.70858219728</v>
      </c>
    </row>
    <row r="51" spans="1:10" x14ac:dyDescent="0.25">
      <c r="A51" s="11" t="s">
        <v>24</v>
      </c>
      <c r="B51" s="51">
        <f t="shared" ref="B51:J51" si="36">B21/$A$39</f>
        <v>10130.342765275</v>
      </c>
      <c r="C51" s="103">
        <f t="shared" si="23"/>
        <v>1</v>
      </c>
      <c r="D51" s="51">
        <f t="shared" si="36"/>
        <v>15717.083045538331</v>
      </c>
      <c r="E51" s="103">
        <f t="shared" si="24"/>
        <v>1.0000000000000002</v>
      </c>
      <c r="F51" s="148">
        <f t="shared" si="36"/>
        <v>21131.065418440936</v>
      </c>
      <c r="G51" s="150">
        <f t="shared" si="25"/>
        <v>1.0000000000019791</v>
      </c>
      <c r="H51" s="148">
        <f t="shared" si="36"/>
        <v>40153.596578999997</v>
      </c>
      <c r="I51" s="150">
        <f t="shared" si="26"/>
        <v>0.99999999999956124</v>
      </c>
      <c r="J51" s="51">
        <f t="shared" si="36"/>
        <v>31261.408183715936</v>
      </c>
    </row>
  </sheetData>
  <autoFilter ref="A9:K37" xr:uid="{AFBDC8D7-96C1-45C4-BFA8-4E4730ECCA6E}"/>
  <mergeCells count="4">
    <mergeCell ref="C4:E6"/>
    <mergeCell ref="G4:I6"/>
    <mergeCell ref="K4:N6"/>
    <mergeCell ref="R4:T5"/>
  </mergeCells>
  <conditionalFormatting sqref="S7">
    <cfRule type="cellIs" dxfId="47" priority="4" operator="between">
      <formula>-100</formula>
      <formula>0.0298</formula>
    </cfRule>
    <cfRule type="cellIs" dxfId="46" priority="5" operator="between">
      <formula>0.0299</formula>
      <formula>0.0599</formula>
    </cfRule>
    <cfRule type="cellIs" dxfId="45" priority="6" operator="greaterThan">
      <formula>0.06</formula>
    </cfRule>
  </conditionalFormatting>
  <conditionalFormatting sqref="T7">
    <cfRule type="cellIs" dxfId="44" priority="1" operator="lessThan">
      <formula>0.0298</formula>
    </cfRule>
    <cfRule type="cellIs" dxfId="43" priority="2" operator="between">
      <formula>0.0299</formula>
      <formula>0.0599</formula>
    </cfRule>
    <cfRule type="cellIs" dxfId="42" priority="3" operator="greaterThan">
      <formula>0.06</formula>
    </cfRule>
  </conditionalFormatting>
  <dataValidations count="1">
    <dataValidation type="list" allowBlank="1" showInputMessage="1" showErrorMessage="1" sqref="R7" xr:uid="{BF54AE23-0576-482B-876A-FB1BFBADAA29}">
      <formula1>$A$7:$A$17</formula1>
    </dataValidation>
  </dataValidations>
  <pageMargins left="0.7" right="0.7" top="0.75" bottom="0.75" header="0.3" footer="0.3"/>
  <pageSetup orientation="portrait" r:id="rId1"/>
  <ignoredErrors>
    <ignoredError sqref="L26:L37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4995-15BE-4CC9-9F48-1FCAB981B22F}">
  <sheetPr>
    <tabColor theme="7"/>
  </sheetPr>
  <dimension ref="A2:M37"/>
  <sheetViews>
    <sheetView topLeftCell="A4" zoomScale="70" zoomScaleNormal="70" workbookViewId="0">
      <selection activeCell="D9" sqref="D9"/>
    </sheetView>
  </sheetViews>
  <sheetFormatPr baseColWidth="10" defaultColWidth="11.42578125" defaultRowHeight="15" x14ac:dyDescent="0.25"/>
  <cols>
    <col min="1" max="1" width="22.42578125" style="2" customWidth="1"/>
    <col min="2" max="2" width="25.28515625" style="2" bestFit="1" customWidth="1"/>
    <col min="3" max="3" width="24.85546875" style="2" bestFit="1" customWidth="1"/>
    <col min="4" max="4" width="22.5703125" style="2" bestFit="1" customWidth="1"/>
    <col min="5" max="5" width="30" style="2" bestFit="1" customWidth="1"/>
    <col min="6" max="6" width="19.140625" style="2" bestFit="1" customWidth="1"/>
    <col min="7" max="8" width="19.140625" style="2" customWidth="1"/>
    <col min="9" max="9" width="14.85546875" style="2" customWidth="1"/>
    <col min="10" max="10" width="22.42578125" style="2" customWidth="1"/>
    <col min="11" max="11" width="27.5703125" style="2" bestFit="1" customWidth="1"/>
    <col min="12" max="12" width="21" style="2" customWidth="1"/>
    <col min="13" max="16384" width="11.42578125" style="2"/>
  </cols>
  <sheetData>
    <row r="2" spans="1:13" x14ac:dyDescent="0.25">
      <c r="A2" s="2">
        <v>1000000</v>
      </c>
    </row>
    <row r="3" spans="1:13" x14ac:dyDescent="0.25">
      <c r="A3" s="51">
        <f>C10/A2</f>
        <v>0</v>
      </c>
    </row>
    <row r="4" spans="1:13" ht="15" customHeight="1" x14ac:dyDescent="0.25">
      <c r="A4" s="1" t="s">
        <v>0</v>
      </c>
      <c r="B4" s="5">
        <f>'Funcionamiento FP'!R2+'Total Inversión Función Pública'!B6</f>
        <v>47973693300</v>
      </c>
      <c r="C4" s="170" t="s">
        <v>32</v>
      </c>
      <c r="D4" s="171"/>
      <c r="E4" s="171"/>
      <c r="I4" s="194" t="s">
        <v>2</v>
      </c>
      <c r="J4" s="194"/>
      <c r="K4" s="194"/>
      <c r="L4" s="194"/>
      <c r="M4" s="194"/>
    </row>
    <row r="5" spans="1:13" ht="44.25" customHeight="1" x14ac:dyDescent="0.25">
      <c r="A5" s="6" t="s">
        <v>3</v>
      </c>
      <c r="B5" s="7">
        <f>'Funcionamiento FP'!R3+'Total Inversión Función Pública'!B7</f>
        <v>0</v>
      </c>
      <c r="C5" s="173"/>
      <c r="D5" s="174"/>
      <c r="E5" s="174"/>
      <c r="I5" s="158" t="s">
        <v>5</v>
      </c>
      <c r="J5" s="158" t="s">
        <v>33</v>
      </c>
      <c r="K5" s="158" t="s">
        <v>34</v>
      </c>
      <c r="L5" s="158" t="s">
        <v>35</v>
      </c>
      <c r="M5" s="158" t="s">
        <v>36</v>
      </c>
    </row>
    <row r="6" spans="1:13" ht="36.75" customHeight="1" x14ac:dyDescent="0.25">
      <c r="A6" s="3" t="s">
        <v>4</v>
      </c>
      <c r="B6" s="4">
        <f>B4-B5</f>
        <v>47973693300</v>
      </c>
      <c r="C6" s="176"/>
      <c r="D6" s="177"/>
      <c r="E6" s="177"/>
      <c r="F6" s="2">
        <v>1000000</v>
      </c>
      <c r="I6" s="194" t="s">
        <v>19</v>
      </c>
      <c r="J6" s="158" t="s">
        <v>6</v>
      </c>
      <c r="K6" s="79">
        <f>VLOOKUP($I$6,$A$25:$E$36,2,0)</f>
        <v>0.70427824832198194</v>
      </c>
      <c r="L6" s="79">
        <f>VLOOKUP($I$6,$A$25:$E$36,3,0)</f>
        <v>0</v>
      </c>
      <c r="M6" s="70">
        <f>K6-L6</f>
        <v>0.70427824832198194</v>
      </c>
    </row>
    <row r="7" spans="1:13" ht="47.25" customHeight="1" x14ac:dyDescent="0.25">
      <c r="A7" s="1"/>
      <c r="B7" s="53" t="s">
        <v>8</v>
      </c>
      <c r="C7" s="65" t="s">
        <v>9</v>
      </c>
      <c r="D7" s="53" t="s">
        <v>10</v>
      </c>
      <c r="E7" s="65" t="s">
        <v>11</v>
      </c>
      <c r="F7" s="51">
        <f>C9/F6</f>
        <v>0</v>
      </c>
      <c r="G7" s="51">
        <f>E9/F6</f>
        <v>0</v>
      </c>
      <c r="I7" s="194"/>
      <c r="J7" s="78" t="s">
        <v>7</v>
      </c>
      <c r="K7" s="79">
        <f>VLOOKUP($I$6,$A$25:$E$36,4,0)</f>
        <v>0.45231323601941054</v>
      </c>
      <c r="L7" s="79">
        <f>VLOOKUP($I$6,$A$25:$E$36,5,0)</f>
        <v>0</v>
      </c>
      <c r="M7" s="70">
        <f>K7-L7</f>
        <v>0.45231323601941054</v>
      </c>
    </row>
    <row r="8" spans="1:13" ht="13.5" hidden="1" customHeight="1" x14ac:dyDescent="0.25">
      <c r="A8" s="54"/>
      <c r="B8" s="55"/>
      <c r="C8" s="55"/>
      <c r="D8" s="55"/>
      <c r="E8" s="98">
        <v>1000000</v>
      </c>
    </row>
    <row r="9" spans="1:13" ht="40.5" customHeight="1" x14ac:dyDescent="0.25">
      <c r="A9" s="8" t="s">
        <v>13</v>
      </c>
      <c r="B9" s="17">
        <f>SUBTOTAL(9,B10:B21)</f>
        <v>47644243783.900009</v>
      </c>
      <c r="C9" s="126">
        <f>SUBTOTAL(9,C10:C21)</f>
        <v>0</v>
      </c>
      <c r="D9" s="17">
        <f>SUBTOTAL(9,D10:D21)</f>
        <v>47579107795.096352</v>
      </c>
      <c r="E9" s="126">
        <f>SUBTOTAL(9,E10:E21)</f>
        <v>0</v>
      </c>
      <c r="F9" s="51"/>
      <c r="G9" s="51"/>
      <c r="H9" s="51"/>
      <c r="I9" s="51"/>
    </row>
    <row r="10" spans="1:13" x14ac:dyDescent="0.25">
      <c r="A10" s="11" t="s">
        <v>14</v>
      </c>
      <c r="B10" s="63">
        <f>SUM('Funcionamiento FP'!R8+'Total Inversión Función Pública'!B13)</f>
        <v>13477727208.85</v>
      </c>
      <c r="C10" s="68">
        <f>SUM('Funcionamiento FP'!S8+'Total Inversión Función Pública'!C13)</f>
        <v>0</v>
      </c>
      <c r="D10" s="12">
        <f>SUM('Funcionamiento FP'!T8+'Total Inversión Función Pública'!D13)</f>
        <v>1528175867</v>
      </c>
      <c r="E10" s="76">
        <f>SUM('Funcionamiento FP'!U8+'Total Inversión Función Pública'!E13)</f>
        <v>0</v>
      </c>
      <c r="F10" s="51"/>
      <c r="G10" s="103"/>
      <c r="H10" s="51"/>
      <c r="I10" s="103"/>
    </row>
    <row r="11" spans="1:13" x14ac:dyDescent="0.25">
      <c r="A11" s="11" t="s">
        <v>15</v>
      </c>
      <c r="B11" s="63">
        <f>SUM('Funcionamiento FP'!R9+'Total Inversión Función Pública'!B14)</f>
        <v>4002786238.4499998</v>
      </c>
      <c r="C11" s="68">
        <f>SUM('Funcionamiento FP'!S9+'Total Inversión Función Pública'!C14)</f>
        <v>0</v>
      </c>
      <c r="D11" s="12">
        <f>SUM('Funcionamiento FP'!T9+'Total Inversión Función Pública'!D14)</f>
        <v>2193943972.2399998</v>
      </c>
      <c r="E11" s="76">
        <f>SUM('Funcionamiento FP'!U9+'Total Inversión Función Pública'!E14)</f>
        <v>0</v>
      </c>
      <c r="F11" s="51"/>
      <c r="G11" s="51"/>
      <c r="H11" s="51"/>
      <c r="I11" s="51"/>
    </row>
    <row r="12" spans="1:13" x14ac:dyDescent="0.25">
      <c r="A12" s="11" t="s">
        <v>16</v>
      </c>
      <c r="B12" s="63">
        <f>SUM('Funcionamiento FP'!R10+'Total Inversión Función Pública'!B15)</f>
        <v>2330163997.9000001</v>
      </c>
      <c r="C12" s="68">
        <f>SUM('Funcionamiento FP'!S10+'Total Inversión Función Pública'!C15)</f>
        <v>0</v>
      </c>
      <c r="D12" s="12">
        <f>SUM('Funcionamiento FP'!T10+'Total Inversión Función Pública'!D15)</f>
        <v>3048743673.4533329</v>
      </c>
      <c r="E12" s="76">
        <f>SUM('Funcionamiento FP'!U10+'Total Inversión Función Pública'!E15)</f>
        <v>0</v>
      </c>
      <c r="F12" s="51"/>
      <c r="G12" s="103"/>
      <c r="H12" s="51"/>
      <c r="I12" s="103"/>
    </row>
    <row r="13" spans="1:13" x14ac:dyDescent="0.25">
      <c r="A13" s="11" t="s">
        <v>17</v>
      </c>
      <c r="B13" s="63">
        <f>SUM('Funcionamiento FP'!R11+'Total Inversión Función Pública'!B16)</f>
        <v>2758512056.3400002</v>
      </c>
      <c r="C13" s="68">
        <f>SUM('Funcionamiento FP'!S11+'Total Inversión Función Pública'!C16)</f>
        <v>0</v>
      </c>
      <c r="D13" s="12">
        <f>SUM('Funcionamiento FP'!T11+'Total Inversión Función Pública'!D16)</f>
        <v>3511410735.4266663</v>
      </c>
      <c r="E13" s="76">
        <f>SUM('Funcionamiento FP'!U11+'Total Inversión Función Pública'!E16)</f>
        <v>0</v>
      </c>
    </row>
    <row r="14" spans="1:13" x14ac:dyDescent="0.25">
      <c r="A14" s="11" t="s">
        <v>12</v>
      </c>
      <c r="B14" s="63">
        <f>SUM('Funcionamiento FP'!R12+'Total Inversión Función Pública'!B17)</f>
        <v>2468966251.3000002</v>
      </c>
      <c r="C14" s="68">
        <f>SUM('Funcionamiento FP'!S12+'Total Inversión Función Pública'!C17)</f>
        <v>0</v>
      </c>
      <c r="D14" s="12">
        <f>SUM('Funcionamiento FP'!T12+'Total Inversión Función Pública'!D17)</f>
        <v>3455339238.7599998</v>
      </c>
      <c r="E14" s="76">
        <f>SUM('Funcionamiento FP'!U12+'Total Inversión Función Pública'!E17)</f>
        <v>0</v>
      </c>
    </row>
    <row r="15" spans="1:13" x14ac:dyDescent="0.25">
      <c r="A15" s="11" t="s">
        <v>18</v>
      </c>
      <c r="B15" s="63">
        <f>SUM('Funcionamiento FP'!R13+'Total Inversión Función Pública'!B18)</f>
        <v>5235317319.0100002</v>
      </c>
      <c r="C15" s="68">
        <f>SUM('Funcionamiento FP'!S13+'Total Inversión Función Pública'!C18)</f>
        <v>0</v>
      </c>
      <c r="D15" s="12">
        <f>SUM('Funcionamiento FP'!T13+'Total Inversión Función Pública'!D18)</f>
        <v>3546593223.5428572</v>
      </c>
      <c r="E15" s="76">
        <f>SUM('Funcionamiento FP'!U13+'Total Inversión Función Pública'!E18)</f>
        <v>0</v>
      </c>
      <c r="F15" s="94"/>
    </row>
    <row r="16" spans="1:13" x14ac:dyDescent="0.25">
      <c r="A16" s="11" t="s">
        <v>19</v>
      </c>
      <c r="B16" s="63">
        <f>SUM('Funcionamiento FP'!R14+'Total Inversión Función Pública'!B19)</f>
        <v>3513355611.0100002</v>
      </c>
      <c r="C16" s="68">
        <f>SUM('Funcionamiento FP'!S14+'Total Inversión Función Pública'!C19)</f>
        <v>0</v>
      </c>
      <c r="D16" s="12">
        <f>SUM('Funcionamiento FP'!T14+'Total Inversión Función Pública'!D19)</f>
        <v>4414929749.9028568</v>
      </c>
      <c r="E16" s="76">
        <f>SUM('Funcionamiento FP'!U14+'Total Inversión Función Pública'!E19)</f>
        <v>0</v>
      </c>
      <c r="F16" s="51"/>
      <c r="G16" s="51"/>
    </row>
    <row r="17" spans="1:8" x14ac:dyDescent="0.25">
      <c r="A17" s="11" t="s">
        <v>20</v>
      </c>
      <c r="B17" s="63">
        <f>SUM('Funcionamiento FP'!R15+'Total Inversión Función Pública'!B20)</f>
        <v>2643344175.0100002</v>
      </c>
      <c r="C17" s="68">
        <f>SUM('Funcionamiento FP'!S15+'Total Inversión Función Pública'!C20)</f>
        <v>0</v>
      </c>
      <c r="D17" s="12">
        <f>SUM('Funcionamiento FP'!T15+'Total Inversión Función Pública'!D20)</f>
        <v>4290526006.9028568</v>
      </c>
      <c r="E17" s="76">
        <f>SUM('Funcionamiento FP'!U15+'Total Inversión Función Pública'!E20)</f>
        <v>0</v>
      </c>
    </row>
    <row r="18" spans="1:8" x14ac:dyDescent="0.25">
      <c r="A18" s="11" t="s">
        <v>21</v>
      </c>
      <c r="B18" s="63">
        <f>SUM('Funcionamiento FP'!R16+'Total Inversión Función Pública'!B21)</f>
        <v>2142164635.01</v>
      </c>
      <c r="C18" s="68">
        <f>SUM('Funcionamiento FP'!S16+'Total Inversión Función Pública'!C21)</f>
        <v>0</v>
      </c>
      <c r="D18" s="12">
        <f>SUM('Funcionamiento FP'!T16+'Total Inversión Función Pública'!D21)</f>
        <v>3686027065.9028568</v>
      </c>
      <c r="E18" s="76">
        <f>SUM('Funcionamiento FP'!U16+'Total Inversión Función Pública'!E21)</f>
        <v>0</v>
      </c>
    </row>
    <row r="19" spans="1:8" x14ac:dyDescent="0.25">
      <c r="A19" s="11" t="s">
        <v>22</v>
      </c>
      <c r="B19" s="63">
        <f>SUM('Funcionamiento FP'!R17+'Total Inversión Función Pública'!B22)</f>
        <v>2480274630.0100002</v>
      </c>
      <c r="C19" s="68">
        <f>SUM('Funcionamiento FP'!S17+'Total Inversión Función Pública'!C22)</f>
        <v>0</v>
      </c>
      <c r="D19" s="12">
        <f>SUM('Funcionamiento FP'!T17+'Total Inversión Función Pública'!D22)</f>
        <v>4543869925.9610386</v>
      </c>
      <c r="E19" s="76">
        <f>SUM('Funcionamiento FP'!U17+'Total Inversión Función Pública'!E22)</f>
        <v>0</v>
      </c>
      <c r="F19" s="51"/>
      <c r="G19" s="51"/>
    </row>
    <row r="20" spans="1:8" x14ac:dyDescent="0.25">
      <c r="A20" s="57" t="s">
        <v>23</v>
      </c>
      <c r="B20" s="63">
        <f>SUM('Funcionamiento FP'!R18+'Total Inversión Función Pública'!B23)</f>
        <v>2434778779.0100002</v>
      </c>
      <c r="C20" s="68">
        <f>SUM('Funcionamiento FP'!S18+'Total Inversión Función Pública'!C23)</f>
        <v>0</v>
      </c>
      <c r="D20" s="12">
        <f>SUM('Funcionamiento FP'!T18+'Total Inversión Función Pública'!D23)</f>
        <v>4914582827.9028568</v>
      </c>
      <c r="E20" s="76">
        <f>SUM('Funcionamiento FP'!U18+'Total Inversión Función Pública'!E23)</f>
        <v>0</v>
      </c>
    </row>
    <row r="21" spans="1:8" x14ac:dyDescent="0.25">
      <c r="A21" s="11" t="s">
        <v>24</v>
      </c>
      <c r="B21" s="63">
        <f>SUM('Funcionamiento FP'!R19+'Total Inversión Función Pública'!B24)</f>
        <v>4156852882</v>
      </c>
      <c r="C21" s="68">
        <f>SUM('Funcionamiento FP'!S19+'Total Inversión Función Pública'!C24)</f>
        <v>0</v>
      </c>
      <c r="D21" s="12">
        <f>SUM('Funcionamiento FP'!T19+'Total Inversión Función Pública'!D24)</f>
        <v>8444965508.1010389</v>
      </c>
      <c r="E21" s="76">
        <f>SUM('Funcionamiento FP'!U19+'Total Inversión Función Pública'!E24)</f>
        <v>0</v>
      </c>
    </row>
    <row r="22" spans="1:8" x14ac:dyDescent="0.25">
      <c r="A22" s="49"/>
      <c r="B22" s="59"/>
      <c r="C22" s="59"/>
      <c r="D22" s="59"/>
      <c r="E22" s="59"/>
      <c r="F22" s="94"/>
      <c r="G22" s="94"/>
      <c r="H22" s="94"/>
    </row>
    <row r="23" spans="1:8" ht="30" x14ac:dyDescent="0.25">
      <c r="A23" s="13" t="s">
        <v>25</v>
      </c>
      <c r="B23" s="56">
        <f>SUM(B10:B21)/$B$6</f>
        <v>0.99313270475050142</v>
      </c>
      <c r="C23" s="14">
        <f>SUM(C10:C21)/$B$6</f>
        <v>0</v>
      </c>
      <c r="D23" s="56">
        <f>SUM(D10:D21)/$B$6</f>
        <v>0.99177496086373551</v>
      </c>
      <c r="E23" s="14">
        <f>SUM(E10:E21)/$B$6</f>
        <v>0</v>
      </c>
    </row>
    <row r="24" spans="1:8" ht="30" x14ac:dyDescent="0.25">
      <c r="A24" s="13"/>
      <c r="B24" s="53" t="s">
        <v>8</v>
      </c>
      <c r="C24" s="65" t="s">
        <v>9</v>
      </c>
      <c r="D24" s="53" t="s">
        <v>10</v>
      </c>
      <c r="E24" s="65" t="s">
        <v>11</v>
      </c>
    </row>
    <row r="25" spans="1:8" x14ac:dyDescent="0.25">
      <c r="A25" s="15" t="s">
        <v>14</v>
      </c>
      <c r="B25" s="74">
        <f>B10/$B$6</f>
        <v>0.28093995441560055</v>
      </c>
      <c r="C25" s="93">
        <f>C10/$B$6</f>
        <v>0</v>
      </c>
      <c r="D25" s="77">
        <f>D10/$B$6</f>
        <v>3.1854455262463603E-2</v>
      </c>
      <c r="E25" s="93">
        <f>E10/$B$6</f>
        <v>0</v>
      </c>
    </row>
    <row r="26" spans="1:8" x14ac:dyDescent="0.25">
      <c r="A26" s="15" t="s">
        <v>15</v>
      </c>
      <c r="B26" s="74">
        <f t="shared" ref="B26:B36" si="0">(B11/$B$6)+B25</f>
        <v>0.36437706261193781</v>
      </c>
      <c r="C26" s="93">
        <f t="shared" ref="C26:C36" si="1">(C11/$B$6)+C25</f>
        <v>0</v>
      </c>
      <c r="D26" s="16">
        <f>(D11/$B$6)+D25</f>
        <v>7.758668518523254E-2</v>
      </c>
      <c r="E26" s="71">
        <f>(E11/$B$6)+E25</f>
        <v>0</v>
      </c>
    </row>
    <row r="27" spans="1:8" x14ac:dyDescent="0.25">
      <c r="A27" s="15" t="s">
        <v>16</v>
      </c>
      <c r="B27" s="74">
        <f t="shared" si="0"/>
        <v>0.41294876592709617</v>
      </c>
      <c r="C27" s="93">
        <f t="shared" si="1"/>
        <v>0</v>
      </c>
      <c r="D27" s="16">
        <f t="shared" ref="D27:D36" si="2">(D12/$B$6)+D26</f>
        <v>0.14113700753352948</v>
      </c>
      <c r="E27" s="71">
        <f t="shared" ref="E27:E36" si="3">(E12/$B$6)+E26</f>
        <v>0</v>
      </c>
    </row>
    <row r="28" spans="1:8" x14ac:dyDescent="0.25">
      <c r="A28" s="15" t="s">
        <v>17</v>
      </c>
      <c r="B28" s="74">
        <f t="shared" si="0"/>
        <v>0.47044928061730035</v>
      </c>
      <c r="C28" s="163">
        <f t="shared" si="1"/>
        <v>0</v>
      </c>
      <c r="D28" s="16">
        <f t="shared" si="2"/>
        <v>0.21433151256086425</v>
      </c>
      <c r="E28" s="71">
        <f t="shared" si="3"/>
        <v>0</v>
      </c>
    </row>
    <row r="29" spans="1:8" x14ac:dyDescent="0.25">
      <c r="A29" s="15" t="s">
        <v>12</v>
      </c>
      <c r="B29" s="74">
        <f t="shared" si="0"/>
        <v>0.52191428323572497</v>
      </c>
      <c r="C29" s="93">
        <f t="shared" si="1"/>
        <v>0</v>
      </c>
      <c r="D29" s="16">
        <f t="shared" si="2"/>
        <v>0.28635722084128135</v>
      </c>
      <c r="E29" s="71">
        <f t="shared" si="3"/>
        <v>0</v>
      </c>
    </row>
    <row r="30" spans="1:8" x14ac:dyDescent="0.25">
      <c r="A30" s="15" t="s">
        <v>18</v>
      </c>
      <c r="B30" s="74">
        <f>(B15/$B$6)+B29</f>
        <v>0.63104320283487536</v>
      </c>
      <c r="C30" s="93">
        <f t="shared" si="1"/>
        <v>0</v>
      </c>
      <c r="D30" s="16">
        <f t="shared" si="2"/>
        <v>0.36028509629928485</v>
      </c>
      <c r="E30" s="71">
        <f t="shared" si="3"/>
        <v>0</v>
      </c>
    </row>
    <row r="31" spans="1:8" x14ac:dyDescent="0.25">
      <c r="A31" s="15" t="s">
        <v>19</v>
      </c>
      <c r="B31" s="74">
        <f t="shared" si="0"/>
        <v>0.70427824832198194</v>
      </c>
      <c r="C31" s="93">
        <f t="shared" si="1"/>
        <v>0</v>
      </c>
      <c r="D31" s="16">
        <f t="shared" si="2"/>
        <v>0.45231323601941054</v>
      </c>
      <c r="E31" s="71">
        <f t="shared" si="3"/>
        <v>0</v>
      </c>
    </row>
    <row r="32" spans="1:8" x14ac:dyDescent="0.25">
      <c r="A32" s="15" t="s">
        <v>20</v>
      </c>
      <c r="B32" s="132">
        <f t="shared" si="0"/>
        <v>0.75937811646179854</v>
      </c>
      <c r="C32" s="93">
        <f t="shared" si="1"/>
        <v>0</v>
      </c>
      <c r="D32" s="133">
        <f t="shared" si="2"/>
        <v>0.54174820989295336</v>
      </c>
      <c r="E32" s="71">
        <f t="shared" si="3"/>
        <v>0</v>
      </c>
    </row>
    <row r="33" spans="1:5" x14ac:dyDescent="0.25">
      <c r="A33" s="15" t="s">
        <v>21</v>
      </c>
      <c r="B33" s="74">
        <f t="shared" si="0"/>
        <v>0.80403101865997051</v>
      </c>
      <c r="C33" s="93">
        <f t="shared" si="1"/>
        <v>0</v>
      </c>
      <c r="D33" s="16">
        <f t="shared" si="2"/>
        <v>0.61858254997289164</v>
      </c>
      <c r="E33" s="71">
        <f t="shared" si="3"/>
        <v>0</v>
      </c>
    </row>
    <row r="34" spans="1:5" x14ac:dyDescent="0.25">
      <c r="A34" s="15" t="s">
        <v>22</v>
      </c>
      <c r="B34" s="74">
        <f t="shared" si="0"/>
        <v>0.85573174168956478</v>
      </c>
      <c r="C34" s="93">
        <f t="shared" si="1"/>
        <v>0</v>
      </c>
      <c r="D34" s="16">
        <f t="shared" si="2"/>
        <v>0.71329841638630864</v>
      </c>
      <c r="E34" s="71">
        <f t="shared" si="3"/>
        <v>0</v>
      </c>
    </row>
    <row r="35" spans="1:5" x14ac:dyDescent="0.25">
      <c r="A35" s="15" t="s">
        <v>23</v>
      </c>
      <c r="B35" s="74">
        <f t="shared" si="0"/>
        <v>0.90648411474085955</v>
      </c>
      <c r="C35" s="93">
        <f t="shared" si="1"/>
        <v>0</v>
      </c>
      <c r="D35" s="16">
        <f t="shared" si="2"/>
        <v>0.81574170331795826</v>
      </c>
      <c r="E35" s="71">
        <f t="shared" si="3"/>
        <v>0</v>
      </c>
    </row>
    <row r="36" spans="1:5" x14ac:dyDescent="0.25">
      <c r="A36" s="15" t="s">
        <v>24</v>
      </c>
      <c r="B36" s="74">
        <f t="shared" si="0"/>
        <v>0.99313270475050131</v>
      </c>
      <c r="C36" s="93">
        <f t="shared" si="1"/>
        <v>0</v>
      </c>
      <c r="D36" s="16">
        <f t="shared" si="2"/>
        <v>0.99177496086373573</v>
      </c>
      <c r="E36" s="71">
        <f t="shared" si="3"/>
        <v>0</v>
      </c>
    </row>
    <row r="37" spans="1:5" x14ac:dyDescent="0.25">
      <c r="B37" s="113">
        <f>C35-B35</f>
        <v>-0.90648411474085955</v>
      </c>
      <c r="D37" s="120">
        <f>E35-D35</f>
        <v>-0.81574170331795826</v>
      </c>
    </row>
  </sheetData>
  <autoFilter ref="A9:E21" xr:uid="{06E05ACD-FBF5-4A48-8679-2B5EA4E854C5}"/>
  <mergeCells count="3">
    <mergeCell ref="C4:E6"/>
    <mergeCell ref="I4:M4"/>
    <mergeCell ref="I6:I7"/>
  </mergeCells>
  <conditionalFormatting sqref="M6:M7">
    <cfRule type="cellIs" dxfId="41" priority="4" operator="lessThan">
      <formula>0.0298</formula>
    </cfRule>
    <cfRule type="cellIs" dxfId="40" priority="5" operator="between">
      <formula>0.0299</formula>
      <formula>0.0599</formula>
    </cfRule>
    <cfRule type="cellIs" dxfId="39" priority="6" operator="greaterThan">
      <formula>0.06</formula>
    </cfRule>
  </conditionalFormatting>
  <dataValidations count="1">
    <dataValidation type="list" allowBlank="1" showInputMessage="1" showErrorMessage="1" sqref="I6:I7" xr:uid="{7710FEAC-C465-4DAB-93B4-0A67DE510CC3}">
      <formula1>$A$8:$A$21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B775C-BAD2-46B4-B2CD-D4573C8257B8}">
  <sheetPr>
    <tabColor theme="0" tint="-0.499984740745262"/>
  </sheetPr>
  <dimension ref="A1:AE39"/>
  <sheetViews>
    <sheetView zoomScale="70" zoomScaleNormal="70" workbookViewId="0">
      <pane xSplit="1" topLeftCell="B1" activePane="topRight" state="frozen"/>
      <selection pane="topRight" activeCell="Q8" sqref="Q8:Q19"/>
    </sheetView>
  </sheetViews>
  <sheetFormatPr baseColWidth="10" defaultColWidth="11.42578125" defaultRowHeight="15" x14ac:dyDescent="0.25"/>
  <cols>
    <col min="1" max="1" width="22.42578125" style="2" customWidth="1"/>
    <col min="2" max="2" width="23" style="2" bestFit="1" customWidth="1"/>
    <col min="3" max="3" width="23.42578125" style="2" bestFit="1" customWidth="1"/>
    <col min="4" max="4" width="23" style="2" bestFit="1" customWidth="1"/>
    <col min="5" max="5" width="29.28515625" style="2" bestFit="1" customWidth="1"/>
    <col min="6" max="6" width="27.7109375" style="2" bestFit="1" customWidth="1"/>
    <col min="7" max="7" width="22.5703125" style="2" bestFit="1" customWidth="1"/>
    <col min="8" max="8" width="22" style="2" bestFit="1" customWidth="1"/>
    <col min="9" max="9" width="21.5703125" style="2" bestFit="1" customWidth="1"/>
    <col min="10" max="10" width="25.7109375" style="2" bestFit="1" customWidth="1"/>
    <col min="11" max="13" width="20.28515625" style="2" customWidth="1"/>
    <col min="14" max="14" width="20.7109375" style="2" customWidth="1"/>
    <col min="15" max="15" width="22.42578125" style="2" customWidth="1"/>
    <col min="16" max="16" width="20.28515625" style="2" customWidth="1"/>
    <col min="17" max="17" width="21.140625" style="2" customWidth="1"/>
    <col min="18" max="18" width="22.5703125" style="2" bestFit="1" customWidth="1"/>
    <col min="19" max="19" width="30" style="2" bestFit="1" customWidth="1"/>
    <col min="20" max="20" width="22.5703125" style="2" bestFit="1" customWidth="1"/>
    <col min="21" max="21" width="29.28515625" style="2" bestFit="1" customWidth="1"/>
    <col min="22" max="22" width="18.28515625" style="94" bestFit="1" customWidth="1"/>
    <col min="23" max="26" width="14.140625" style="94" customWidth="1"/>
    <col min="27" max="27" width="15.5703125" style="2" bestFit="1" customWidth="1"/>
    <col min="28" max="28" width="19" style="2" customWidth="1"/>
    <col min="29" max="29" width="17.140625" style="2" customWidth="1"/>
    <col min="30" max="30" width="14.140625" style="2" customWidth="1"/>
    <col min="31" max="31" width="17.42578125" style="2" customWidth="1"/>
    <col min="32" max="16384" width="11.42578125" style="2"/>
  </cols>
  <sheetData>
    <row r="1" spans="1:31" x14ac:dyDescent="0.25">
      <c r="F1" s="2" t="s">
        <v>42</v>
      </c>
      <c r="J1" s="2" t="s">
        <v>42</v>
      </c>
      <c r="N1" s="2" t="s">
        <v>42</v>
      </c>
      <c r="S1" s="103"/>
    </row>
    <row r="2" spans="1:31" ht="15" customHeight="1" x14ac:dyDescent="0.25">
      <c r="A2" s="1" t="s">
        <v>0</v>
      </c>
      <c r="B2" s="5">
        <v>24082216932</v>
      </c>
      <c r="C2" s="185" t="s">
        <v>43</v>
      </c>
      <c r="D2" s="186"/>
      <c r="E2" s="187"/>
      <c r="F2" s="102">
        <v>2582148700</v>
      </c>
      <c r="G2" s="185" t="s">
        <v>44</v>
      </c>
      <c r="H2" s="186"/>
      <c r="I2" s="187"/>
      <c r="J2" s="143">
        <v>805502981</v>
      </c>
      <c r="K2" s="185" t="s">
        <v>45</v>
      </c>
      <c r="L2" s="186"/>
      <c r="M2" s="187"/>
      <c r="N2" s="102">
        <v>106406200</v>
      </c>
      <c r="O2" s="185" t="s">
        <v>46</v>
      </c>
      <c r="P2" s="186"/>
      <c r="Q2" s="187"/>
      <c r="R2" s="5">
        <f>B2+F2+J2+N2</f>
        <v>27576274813</v>
      </c>
      <c r="S2" s="195" t="s">
        <v>47</v>
      </c>
      <c r="T2" s="195"/>
      <c r="U2" s="195"/>
      <c r="AA2" s="194" t="s">
        <v>2</v>
      </c>
      <c r="AB2" s="194"/>
      <c r="AC2" s="194"/>
      <c r="AD2" s="194"/>
      <c r="AE2" s="194"/>
    </row>
    <row r="3" spans="1:31" ht="30" x14ac:dyDescent="0.25">
      <c r="A3" s="6" t="s">
        <v>3</v>
      </c>
      <c r="B3" s="7">
        <v>0</v>
      </c>
      <c r="C3" s="188"/>
      <c r="D3" s="189"/>
      <c r="E3" s="190"/>
      <c r="F3" s="7"/>
      <c r="G3" s="188"/>
      <c r="H3" s="189"/>
      <c r="I3" s="190"/>
      <c r="J3" s="7">
        <v>0</v>
      </c>
      <c r="K3" s="188"/>
      <c r="L3" s="189"/>
      <c r="M3" s="190"/>
      <c r="N3" s="7">
        <v>0</v>
      </c>
      <c r="O3" s="188"/>
      <c r="P3" s="189"/>
      <c r="Q3" s="190"/>
      <c r="R3" s="66">
        <f>B3+F3+J3+N3</f>
        <v>0</v>
      </c>
      <c r="S3" s="195"/>
      <c r="T3" s="195"/>
      <c r="U3" s="195"/>
      <c r="AA3" s="158" t="s">
        <v>5</v>
      </c>
      <c r="AB3" s="158" t="s">
        <v>33</v>
      </c>
      <c r="AC3" s="158" t="s">
        <v>34</v>
      </c>
      <c r="AD3" s="158" t="s">
        <v>35</v>
      </c>
      <c r="AE3" s="158" t="s">
        <v>36</v>
      </c>
    </row>
    <row r="4" spans="1:31" ht="15" customHeight="1" x14ac:dyDescent="0.25">
      <c r="A4" s="3" t="s">
        <v>4</v>
      </c>
      <c r="B4" s="4">
        <f>B2-B3</f>
        <v>24082216932</v>
      </c>
      <c r="C4" s="191"/>
      <c r="D4" s="192"/>
      <c r="E4" s="193"/>
      <c r="F4" s="4">
        <f>F2-F3</f>
        <v>2582148700</v>
      </c>
      <c r="G4" s="191"/>
      <c r="H4" s="192"/>
      <c r="I4" s="193"/>
      <c r="J4" s="4">
        <f>J2-J3</f>
        <v>805502981</v>
      </c>
      <c r="K4" s="191"/>
      <c r="L4" s="192"/>
      <c r="M4" s="193"/>
      <c r="N4" s="4">
        <f>N2-N3</f>
        <v>106406200</v>
      </c>
      <c r="O4" s="191"/>
      <c r="P4" s="192"/>
      <c r="Q4" s="193"/>
      <c r="R4" s="4">
        <f>R2-R3</f>
        <v>27576274813</v>
      </c>
      <c r="S4" s="195"/>
      <c r="T4" s="195"/>
      <c r="U4" s="195"/>
      <c r="V4" s="104">
        <v>1000000</v>
      </c>
      <c r="AA4" s="194" t="s">
        <v>19</v>
      </c>
      <c r="AB4" s="158" t="s">
        <v>6</v>
      </c>
      <c r="AC4" s="79">
        <f>VLOOKUP($AA$4,$A$24:$U$35,18,0)</f>
        <v>0.55093982591505741</v>
      </c>
      <c r="AD4" s="79">
        <f>VLOOKUP($AA$4,$A$24:$U$35,19,0)</f>
        <v>0</v>
      </c>
      <c r="AE4" s="70">
        <f>AC4-AD4</f>
        <v>0.55093982591505741</v>
      </c>
    </row>
    <row r="5" spans="1:31" ht="45" x14ac:dyDescent="0.25">
      <c r="A5" s="1"/>
      <c r="B5" s="61" t="s">
        <v>29</v>
      </c>
      <c r="C5" s="52" t="s">
        <v>30</v>
      </c>
      <c r="D5" s="61" t="s">
        <v>10</v>
      </c>
      <c r="E5" s="52" t="s">
        <v>31</v>
      </c>
      <c r="F5" s="61" t="s">
        <v>29</v>
      </c>
      <c r="G5" s="52" t="s">
        <v>30</v>
      </c>
      <c r="H5" s="61" t="s">
        <v>10</v>
      </c>
      <c r="I5" s="52" t="s">
        <v>31</v>
      </c>
      <c r="J5" s="61" t="s">
        <v>29</v>
      </c>
      <c r="K5" s="52" t="s">
        <v>30</v>
      </c>
      <c r="L5" s="61" t="s">
        <v>10</v>
      </c>
      <c r="M5" s="52" t="s">
        <v>31</v>
      </c>
      <c r="N5" s="61" t="s">
        <v>29</v>
      </c>
      <c r="O5" s="52" t="s">
        <v>30</v>
      </c>
      <c r="P5" s="61" t="s">
        <v>10</v>
      </c>
      <c r="Q5" s="52" t="s">
        <v>31</v>
      </c>
      <c r="R5" s="53" t="s">
        <v>29</v>
      </c>
      <c r="S5" s="65" t="s">
        <v>9</v>
      </c>
      <c r="T5" s="53" t="s">
        <v>10</v>
      </c>
      <c r="U5" s="65" t="s">
        <v>11</v>
      </c>
      <c r="AA5" s="194"/>
      <c r="AB5" s="78" t="s">
        <v>7</v>
      </c>
      <c r="AC5" s="79">
        <f>VLOOKUP($AA$4,$A$24:$U$35,20,0)</f>
        <v>0.52723682174598585</v>
      </c>
      <c r="AD5" s="79">
        <f>VLOOKUP($AA$4,$A$24:$U$35,21,0)</f>
        <v>0</v>
      </c>
      <c r="AE5" s="70">
        <f>AC5-AD5</f>
        <v>0.52723682174598585</v>
      </c>
    </row>
    <row r="6" spans="1:31" ht="13.5" hidden="1" customHeight="1" x14ac:dyDescent="0.25">
      <c r="A6" s="54"/>
      <c r="B6" s="102"/>
      <c r="C6" s="102"/>
      <c r="D6" s="98"/>
      <c r="E6" s="112"/>
      <c r="F6" s="112"/>
      <c r="G6" s="102"/>
      <c r="H6" s="112"/>
      <c r="I6" s="112"/>
      <c r="J6" s="112"/>
      <c r="K6" s="102"/>
      <c r="L6" s="112"/>
      <c r="M6" s="112"/>
      <c r="N6" s="112"/>
      <c r="O6" s="102"/>
      <c r="P6" s="112"/>
      <c r="Q6" s="112"/>
      <c r="R6" s="111"/>
      <c r="S6" s="98"/>
      <c r="T6" s="55"/>
      <c r="U6" s="55"/>
    </row>
    <row r="7" spans="1:31" ht="40.5" customHeight="1" x14ac:dyDescent="0.25">
      <c r="A7" s="8" t="s">
        <v>13</v>
      </c>
      <c r="B7" s="62">
        <f t="shared" ref="B7:U7" si="0">SUBTOTAL(9,B8:B19)</f>
        <v>24082216932</v>
      </c>
      <c r="C7" s="9">
        <f t="shared" si="0"/>
        <v>0</v>
      </c>
      <c r="D7" s="62">
        <f t="shared" si="0"/>
        <v>24082216932</v>
      </c>
      <c r="E7" s="9">
        <f t="shared" si="0"/>
        <v>0</v>
      </c>
      <c r="F7" s="62">
        <f t="shared" si="0"/>
        <v>2584699999.8999996</v>
      </c>
      <c r="G7" s="9">
        <f t="shared" si="0"/>
        <v>0</v>
      </c>
      <c r="H7" s="62">
        <f t="shared" si="0"/>
        <v>2582148700.1000004</v>
      </c>
      <c r="I7" s="9">
        <f t="shared" si="0"/>
        <v>0</v>
      </c>
      <c r="J7" s="62">
        <f t="shared" si="0"/>
        <v>610476778</v>
      </c>
      <c r="K7" s="9">
        <f t="shared" si="0"/>
        <v>0</v>
      </c>
      <c r="L7" s="62">
        <f t="shared" si="0"/>
        <v>610476778</v>
      </c>
      <c r="M7" s="9">
        <f t="shared" si="0"/>
        <v>0</v>
      </c>
      <c r="N7" s="62">
        <f t="shared" si="0"/>
        <v>103854900</v>
      </c>
      <c r="O7" s="9">
        <f t="shared" si="0"/>
        <v>0</v>
      </c>
      <c r="P7" s="62">
        <f t="shared" si="0"/>
        <v>103854900</v>
      </c>
      <c r="Q7" s="9">
        <f t="shared" si="0"/>
        <v>0</v>
      </c>
      <c r="R7" s="17">
        <f t="shared" si="0"/>
        <v>27381248609.900002</v>
      </c>
      <c r="S7" s="17">
        <f t="shared" si="0"/>
        <v>0</v>
      </c>
      <c r="T7" s="17">
        <f t="shared" si="0"/>
        <v>27378697310.099998</v>
      </c>
      <c r="U7" s="17">
        <f t="shared" si="0"/>
        <v>0</v>
      </c>
      <c r="V7" s="94">
        <f>R7/$V$4</f>
        <v>27381.248609900002</v>
      </c>
      <c r="W7" s="94">
        <f>S7/$V$4</f>
        <v>0</v>
      </c>
      <c r="X7" s="94">
        <f t="shared" ref="X7:Y7" si="1">T7/$V$4</f>
        <v>27378.697310099997</v>
      </c>
      <c r="Y7" s="94">
        <f t="shared" si="1"/>
        <v>0</v>
      </c>
    </row>
    <row r="8" spans="1:31" x14ac:dyDescent="0.25">
      <c r="A8" s="11" t="s">
        <v>14</v>
      </c>
      <c r="B8" s="63">
        <v>1482274223</v>
      </c>
      <c r="C8" s="68">
        <v>0</v>
      </c>
      <c r="D8" s="63">
        <v>1482274223</v>
      </c>
      <c r="E8" s="68">
        <v>0</v>
      </c>
      <c r="F8" s="155">
        <v>481850437.85000002</v>
      </c>
      <c r="G8" s="68">
        <v>0</v>
      </c>
      <c r="H8" s="155">
        <v>15214508</v>
      </c>
      <c r="I8" s="68">
        <v>0</v>
      </c>
      <c r="J8" s="155">
        <v>27870997</v>
      </c>
      <c r="K8" s="68">
        <v>0</v>
      </c>
      <c r="L8" s="155">
        <v>27870997</v>
      </c>
      <c r="M8" s="68">
        <v>0</v>
      </c>
      <c r="N8" s="155">
        <v>0</v>
      </c>
      <c r="O8" s="68">
        <v>0</v>
      </c>
      <c r="P8" s="155">
        <v>0</v>
      </c>
      <c r="Q8" s="68">
        <v>0</v>
      </c>
      <c r="R8" s="136">
        <f>SUM(N8+J8+F8+B8)</f>
        <v>1991995657.8499999</v>
      </c>
      <c r="S8" s="136">
        <f>SUM(O8+K8+G8+C8)</f>
        <v>0</v>
      </c>
      <c r="T8" s="12">
        <f>SUM(P8+L8+H8+D8)</f>
        <v>1525359728</v>
      </c>
      <c r="U8" s="12">
        <f>SUM(Q8+M8+I8+E8)</f>
        <v>0</v>
      </c>
      <c r="V8" s="94">
        <f t="shared" ref="V8:V19" si="2">R8/$V$4</f>
        <v>1991.9956578499998</v>
      </c>
      <c r="W8" s="94">
        <f t="shared" ref="W8:W19" si="3">T8/$V$4</f>
        <v>1525.3597279999999</v>
      </c>
    </row>
    <row r="9" spans="1:31" x14ac:dyDescent="0.25">
      <c r="A9" s="11" t="s">
        <v>15</v>
      </c>
      <c r="B9" s="63">
        <v>1557350889</v>
      </c>
      <c r="C9" s="68">
        <v>0</v>
      </c>
      <c r="D9" s="63">
        <v>1557350889</v>
      </c>
      <c r="E9" s="68">
        <v>0</v>
      </c>
      <c r="F9" s="155">
        <v>368376812.44999999</v>
      </c>
      <c r="G9" s="68">
        <v>0</v>
      </c>
      <c r="H9" s="155">
        <v>163896109</v>
      </c>
      <c r="I9" s="68">
        <v>0</v>
      </c>
      <c r="J9" s="155">
        <v>23943416</v>
      </c>
      <c r="K9" s="68">
        <v>0</v>
      </c>
      <c r="L9" s="155">
        <v>23943416</v>
      </c>
      <c r="M9" s="68">
        <v>0</v>
      </c>
      <c r="N9" s="155">
        <v>0</v>
      </c>
      <c r="O9" s="68">
        <v>0</v>
      </c>
      <c r="P9" s="155">
        <v>0</v>
      </c>
      <c r="Q9" s="68">
        <v>0</v>
      </c>
      <c r="R9" s="136">
        <f t="shared" ref="R9:R19" si="4">SUM(N9+J9+F9+B9)</f>
        <v>1949671117.45</v>
      </c>
      <c r="S9" s="136">
        <f t="shared" ref="S9:S19" si="5">SUM(O9+K9+G9+C9)</f>
        <v>0</v>
      </c>
      <c r="T9" s="12">
        <f t="shared" ref="T9:T19" si="6">SUM(P9+L9+H9+D9)</f>
        <v>1745190414</v>
      </c>
      <c r="U9" s="12">
        <f t="shared" ref="U9:U19" si="7">SUM(Q9+M9+I9+E9)</f>
        <v>0</v>
      </c>
      <c r="V9" s="94">
        <f t="shared" si="2"/>
        <v>1949.6711174500001</v>
      </c>
      <c r="W9" s="94">
        <f t="shared" si="3"/>
        <v>1745.1904139999999</v>
      </c>
    </row>
    <row r="10" spans="1:31" x14ac:dyDescent="0.25">
      <c r="A10" s="11" t="s">
        <v>16</v>
      </c>
      <c r="B10" s="63">
        <v>1699350889</v>
      </c>
      <c r="C10" s="68">
        <v>0</v>
      </c>
      <c r="D10" s="63">
        <v>1699350889</v>
      </c>
      <c r="E10" s="68">
        <v>0</v>
      </c>
      <c r="F10" s="155">
        <v>423185076.89999998</v>
      </c>
      <c r="G10" s="68">
        <v>0</v>
      </c>
      <c r="H10" s="155">
        <v>166323832</v>
      </c>
      <c r="I10" s="68">
        <v>0</v>
      </c>
      <c r="J10" s="155">
        <v>23943416</v>
      </c>
      <c r="K10" s="68">
        <v>0</v>
      </c>
      <c r="L10" s="155">
        <v>23943416</v>
      </c>
      <c r="M10" s="68">
        <v>0</v>
      </c>
      <c r="N10" s="155">
        <v>0</v>
      </c>
      <c r="O10" s="68">
        <v>0</v>
      </c>
      <c r="P10" s="155">
        <v>0</v>
      </c>
      <c r="Q10" s="68">
        <v>0</v>
      </c>
      <c r="R10" s="136">
        <f t="shared" si="4"/>
        <v>2146479381.9000001</v>
      </c>
      <c r="S10" s="136">
        <f t="shared" si="5"/>
        <v>0</v>
      </c>
      <c r="T10" s="12">
        <f t="shared" si="6"/>
        <v>1889618137</v>
      </c>
      <c r="U10" s="12">
        <f t="shared" si="7"/>
        <v>0</v>
      </c>
      <c r="V10" s="94">
        <f t="shared" si="2"/>
        <v>2146.4793819000001</v>
      </c>
      <c r="W10" s="94">
        <f t="shared" si="3"/>
        <v>1889.6181369999999</v>
      </c>
    </row>
    <row r="11" spans="1:31" x14ac:dyDescent="0.25">
      <c r="A11" s="11" t="s">
        <v>17</v>
      </c>
      <c r="B11" s="63">
        <v>1688350889</v>
      </c>
      <c r="C11" s="68">
        <v>0</v>
      </c>
      <c r="D11" s="63">
        <v>1688350889</v>
      </c>
      <c r="E11" s="68">
        <v>0</v>
      </c>
      <c r="F11" s="155">
        <v>165835257.34</v>
      </c>
      <c r="G11" s="68">
        <v>0</v>
      </c>
      <c r="H11" s="155">
        <v>218833310</v>
      </c>
      <c r="I11" s="68">
        <v>0</v>
      </c>
      <c r="J11" s="155">
        <v>23943416</v>
      </c>
      <c r="K11" s="68">
        <v>0</v>
      </c>
      <c r="L11" s="155">
        <v>23943416</v>
      </c>
      <c r="M11" s="68">
        <v>0</v>
      </c>
      <c r="N11" s="155">
        <v>42054900</v>
      </c>
      <c r="O11" s="68">
        <v>0</v>
      </c>
      <c r="P11" s="155">
        <v>42054900</v>
      </c>
      <c r="Q11" s="68">
        <v>0</v>
      </c>
      <c r="R11" s="136">
        <f t="shared" si="4"/>
        <v>1920184462.3399999</v>
      </c>
      <c r="S11" s="136">
        <f t="shared" si="5"/>
        <v>0</v>
      </c>
      <c r="T11" s="12">
        <f t="shared" si="6"/>
        <v>1973182515</v>
      </c>
      <c r="U11" s="12">
        <f t="shared" si="7"/>
        <v>0</v>
      </c>
      <c r="V11" s="94">
        <f t="shared" si="2"/>
        <v>1920.18446234</v>
      </c>
      <c r="W11" s="94">
        <f t="shared" si="3"/>
        <v>1973.182515</v>
      </c>
    </row>
    <row r="12" spans="1:31" x14ac:dyDescent="0.25">
      <c r="A12" s="11" t="s">
        <v>12</v>
      </c>
      <c r="B12" s="63">
        <v>2022175000</v>
      </c>
      <c r="C12" s="68">
        <v>0</v>
      </c>
      <c r="D12" s="63">
        <v>2022175000</v>
      </c>
      <c r="E12" s="68">
        <v>0</v>
      </c>
      <c r="F12" s="155">
        <v>191568671.30000001</v>
      </c>
      <c r="G12" s="68">
        <v>0</v>
      </c>
      <c r="H12" s="155">
        <v>251333310</v>
      </c>
      <c r="I12" s="68">
        <v>0</v>
      </c>
      <c r="J12" s="155">
        <v>23943416</v>
      </c>
      <c r="K12" s="68">
        <v>0</v>
      </c>
      <c r="L12" s="155">
        <v>23943416</v>
      </c>
      <c r="M12" s="68">
        <v>0</v>
      </c>
      <c r="N12" s="155">
        <v>0</v>
      </c>
      <c r="O12" s="68">
        <v>0</v>
      </c>
      <c r="P12" s="155">
        <v>0</v>
      </c>
      <c r="Q12" s="68">
        <v>0</v>
      </c>
      <c r="R12" s="136">
        <f t="shared" si="4"/>
        <v>2237687087.3000002</v>
      </c>
      <c r="S12" s="136">
        <f t="shared" si="5"/>
        <v>0</v>
      </c>
      <c r="T12" s="12">
        <f t="shared" si="6"/>
        <v>2297451726</v>
      </c>
      <c r="U12" s="12">
        <f t="shared" si="7"/>
        <v>0</v>
      </c>
      <c r="V12" s="94">
        <f t="shared" si="2"/>
        <v>2237.6870873000003</v>
      </c>
      <c r="W12" s="94">
        <f t="shared" si="3"/>
        <v>2297.4517259999998</v>
      </c>
    </row>
    <row r="13" spans="1:31" x14ac:dyDescent="0.25">
      <c r="A13" s="11" t="s">
        <v>18</v>
      </c>
      <c r="B13" s="63">
        <v>2031350889</v>
      </c>
      <c r="C13" s="68">
        <v>0</v>
      </c>
      <c r="D13" s="63">
        <v>2031350889</v>
      </c>
      <c r="E13" s="68">
        <v>0</v>
      </c>
      <c r="F13" s="155">
        <v>190180624.00999999</v>
      </c>
      <c r="G13" s="68">
        <v>0</v>
      </c>
      <c r="H13" s="155">
        <v>244795296</v>
      </c>
      <c r="I13" s="68">
        <v>0</v>
      </c>
      <c r="J13" s="155">
        <v>40378306</v>
      </c>
      <c r="K13" s="68">
        <v>0</v>
      </c>
      <c r="L13" s="155">
        <v>40378306</v>
      </c>
      <c r="M13" s="68">
        <v>0</v>
      </c>
      <c r="N13" s="155">
        <v>0</v>
      </c>
      <c r="O13" s="68">
        <v>0</v>
      </c>
      <c r="P13" s="155">
        <v>0</v>
      </c>
      <c r="Q13" s="68">
        <v>0</v>
      </c>
      <c r="R13" s="136">
        <f t="shared" si="4"/>
        <v>2261909819.0100002</v>
      </c>
      <c r="S13" s="136">
        <f t="shared" si="5"/>
        <v>0</v>
      </c>
      <c r="T13" s="12">
        <f t="shared" si="6"/>
        <v>2316524491</v>
      </c>
      <c r="U13" s="12">
        <f t="shared" si="7"/>
        <v>0</v>
      </c>
      <c r="V13" s="94">
        <f t="shared" si="2"/>
        <v>2261.9098190100003</v>
      </c>
      <c r="W13" s="94">
        <f t="shared" si="3"/>
        <v>2316.5244910000001</v>
      </c>
    </row>
    <row r="14" spans="1:31" x14ac:dyDescent="0.25">
      <c r="A14" s="11" t="s">
        <v>19</v>
      </c>
      <c r="B14" s="63">
        <v>2516716479</v>
      </c>
      <c r="C14" s="68">
        <v>0</v>
      </c>
      <c r="D14" s="63">
        <v>2516716479</v>
      </c>
      <c r="E14" s="68">
        <v>0</v>
      </c>
      <c r="F14" s="155">
        <v>144280624.00999999</v>
      </c>
      <c r="G14" s="68">
        <v>0</v>
      </c>
      <c r="H14" s="155">
        <v>251240582</v>
      </c>
      <c r="I14" s="68">
        <v>0</v>
      </c>
      <c r="J14" s="155">
        <v>23943416</v>
      </c>
      <c r="K14" s="68">
        <v>0</v>
      </c>
      <c r="L14" s="155">
        <v>23943416</v>
      </c>
      <c r="M14" s="68">
        <v>0</v>
      </c>
      <c r="N14" s="155">
        <v>0</v>
      </c>
      <c r="O14" s="68">
        <v>0</v>
      </c>
      <c r="P14" s="155">
        <v>0</v>
      </c>
      <c r="Q14" s="68">
        <v>0</v>
      </c>
      <c r="R14" s="136">
        <f t="shared" si="4"/>
        <v>2684940519.0100002</v>
      </c>
      <c r="S14" s="136">
        <f t="shared" si="5"/>
        <v>0</v>
      </c>
      <c r="T14" s="12">
        <f t="shared" si="6"/>
        <v>2791900477</v>
      </c>
      <c r="U14" s="12">
        <f t="shared" si="7"/>
        <v>0</v>
      </c>
      <c r="V14" s="94">
        <f t="shared" si="2"/>
        <v>2684.9405190100001</v>
      </c>
      <c r="W14" s="94">
        <f t="shared" si="3"/>
        <v>2791.9004770000001</v>
      </c>
    </row>
    <row r="15" spans="1:31" x14ac:dyDescent="0.25">
      <c r="A15" s="11" t="s">
        <v>20</v>
      </c>
      <c r="B15" s="63">
        <v>1782040595</v>
      </c>
      <c r="C15" s="68">
        <v>0</v>
      </c>
      <c r="D15" s="63">
        <v>1782040595</v>
      </c>
      <c r="E15" s="68">
        <v>0</v>
      </c>
      <c r="F15" s="155">
        <v>163480624.00999999</v>
      </c>
      <c r="G15" s="68">
        <v>0</v>
      </c>
      <c r="H15" s="155">
        <v>288440582</v>
      </c>
      <c r="I15" s="68">
        <v>0</v>
      </c>
      <c r="J15" s="155">
        <v>23943416</v>
      </c>
      <c r="K15" s="68">
        <v>0</v>
      </c>
      <c r="L15" s="155">
        <v>23943416</v>
      </c>
      <c r="M15" s="68">
        <v>0</v>
      </c>
      <c r="N15" s="155">
        <v>0</v>
      </c>
      <c r="O15" s="68">
        <v>0</v>
      </c>
      <c r="P15" s="155">
        <v>0</v>
      </c>
      <c r="Q15" s="68">
        <v>0</v>
      </c>
      <c r="R15" s="136">
        <f t="shared" si="4"/>
        <v>1969464635.01</v>
      </c>
      <c r="S15" s="136">
        <f t="shared" si="5"/>
        <v>0</v>
      </c>
      <c r="T15" s="12">
        <f t="shared" si="6"/>
        <v>2094424593</v>
      </c>
      <c r="U15" s="12">
        <f t="shared" si="7"/>
        <v>0</v>
      </c>
      <c r="V15" s="94">
        <f t="shared" si="2"/>
        <v>1969.4646350099999</v>
      </c>
      <c r="W15" s="94">
        <f t="shared" si="3"/>
        <v>2094.4245930000002</v>
      </c>
    </row>
    <row r="16" spans="1:31" x14ac:dyDescent="0.25">
      <c r="A16" s="11" t="s">
        <v>21</v>
      </c>
      <c r="B16" s="63">
        <v>1870140595</v>
      </c>
      <c r="C16" s="68">
        <v>0</v>
      </c>
      <c r="D16" s="63">
        <v>1870140595</v>
      </c>
      <c r="E16" s="68">
        <v>0</v>
      </c>
      <c r="F16" s="155">
        <v>155980624.00999999</v>
      </c>
      <c r="G16" s="68">
        <v>0</v>
      </c>
      <c r="H16" s="155">
        <v>242740582</v>
      </c>
      <c r="I16" s="68">
        <v>0</v>
      </c>
      <c r="J16" s="155">
        <v>23943416</v>
      </c>
      <c r="K16" s="68">
        <v>0</v>
      </c>
      <c r="L16" s="155">
        <v>23943416</v>
      </c>
      <c r="M16" s="68">
        <v>0</v>
      </c>
      <c r="N16" s="155">
        <v>0</v>
      </c>
      <c r="O16" s="68">
        <v>0</v>
      </c>
      <c r="P16" s="155">
        <v>0</v>
      </c>
      <c r="Q16" s="68">
        <v>0</v>
      </c>
      <c r="R16" s="136">
        <f t="shared" si="4"/>
        <v>2050064635.01</v>
      </c>
      <c r="S16" s="136">
        <f t="shared" si="5"/>
        <v>0</v>
      </c>
      <c r="T16" s="12">
        <f t="shared" si="6"/>
        <v>2136824593</v>
      </c>
      <c r="U16" s="12">
        <f t="shared" si="7"/>
        <v>0</v>
      </c>
      <c r="V16" s="94">
        <f t="shared" si="2"/>
        <v>2050.0646350100001</v>
      </c>
      <c r="W16" s="94">
        <f t="shared" si="3"/>
        <v>2136.8245929999998</v>
      </c>
    </row>
    <row r="17" spans="1:26" x14ac:dyDescent="0.25">
      <c r="A17" s="11" t="s">
        <v>22</v>
      </c>
      <c r="B17" s="63">
        <v>1810140595</v>
      </c>
      <c r="C17" s="68">
        <v>0</v>
      </c>
      <c r="D17" s="63">
        <v>1810140595</v>
      </c>
      <c r="E17" s="68">
        <v>0</v>
      </c>
      <c r="F17" s="155">
        <v>156480624.00999999</v>
      </c>
      <c r="G17" s="68">
        <v>0</v>
      </c>
      <c r="H17" s="155">
        <v>240740582</v>
      </c>
      <c r="I17" s="68">
        <v>0</v>
      </c>
      <c r="J17" s="155">
        <v>23943416</v>
      </c>
      <c r="K17" s="68">
        <v>0</v>
      </c>
      <c r="L17" s="155">
        <v>23943416</v>
      </c>
      <c r="M17" s="68">
        <v>0</v>
      </c>
      <c r="N17" s="155">
        <v>0</v>
      </c>
      <c r="O17" s="68">
        <v>0</v>
      </c>
      <c r="P17" s="155">
        <v>0</v>
      </c>
      <c r="Q17" s="68">
        <v>0</v>
      </c>
      <c r="R17" s="136">
        <f t="shared" si="4"/>
        <v>1990564635.01</v>
      </c>
      <c r="S17" s="136">
        <f t="shared" si="5"/>
        <v>0</v>
      </c>
      <c r="T17" s="12">
        <f t="shared" si="6"/>
        <v>2074824593</v>
      </c>
      <c r="U17" s="12">
        <f t="shared" si="7"/>
        <v>0</v>
      </c>
      <c r="V17" s="94">
        <f t="shared" si="2"/>
        <v>1990.5646350100001</v>
      </c>
      <c r="W17" s="94">
        <f t="shared" si="3"/>
        <v>2074.8245929999998</v>
      </c>
    </row>
    <row r="18" spans="1:26" x14ac:dyDescent="0.25">
      <c r="A18" s="57" t="s">
        <v>23</v>
      </c>
      <c r="B18" s="64">
        <v>2072175000</v>
      </c>
      <c r="C18" s="68">
        <v>0</v>
      </c>
      <c r="D18" s="64">
        <v>2072175000</v>
      </c>
      <c r="E18" s="68">
        <v>0</v>
      </c>
      <c r="F18" s="156">
        <v>143480624.00999999</v>
      </c>
      <c r="G18" s="68">
        <v>0</v>
      </c>
      <c r="H18" s="156">
        <v>232540582</v>
      </c>
      <c r="I18" s="68">
        <v>0</v>
      </c>
      <c r="J18" s="156">
        <v>23943416</v>
      </c>
      <c r="K18" s="68">
        <v>0</v>
      </c>
      <c r="L18" s="156">
        <v>23943416</v>
      </c>
      <c r="M18" s="68">
        <v>0</v>
      </c>
      <c r="N18" s="156">
        <v>0</v>
      </c>
      <c r="O18" s="68">
        <v>0</v>
      </c>
      <c r="P18" s="156">
        <v>0</v>
      </c>
      <c r="Q18" s="68">
        <v>0</v>
      </c>
      <c r="R18" s="136">
        <f t="shared" si="4"/>
        <v>2239599040.0100002</v>
      </c>
      <c r="S18" s="136">
        <f t="shared" si="5"/>
        <v>0</v>
      </c>
      <c r="T18" s="12">
        <f t="shared" si="6"/>
        <v>2328658998</v>
      </c>
      <c r="U18" s="12">
        <f t="shared" si="7"/>
        <v>0</v>
      </c>
      <c r="V18" s="94">
        <f t="shared" si="2"/>
        <v>2239.5990400100004</v>
      </c>
      <c r="W18" s="94">
        <f t="shared" si="3"/>
        <v>2328.6589979999999</v>
      </c>
    </row>
    <row r="19" spans="1:26" x14ac:dyDescent="0.25">
      <c r="A19" s="11" t="s">
        <v>24</v>
      </c>
      <c r="B19" s="63">
        <v>3550150889</v>
      </c>
      <c r="C19" s="68">
        <v>0</v>
      </c>
      <c r="D19" s="63">
        <v>3550150889</v>
      </c>
      <c r="E19" s="68">
        <v>0</v>
      </c>
      <c r="F19" s="155">
        <v>0</v>
      </c>
      <c r="G19" s="68">
        <v>0</v>
      </c>
      <c r="H19" s="155">
        <v>266049425.10000038</v>
      </c>
      <c r="I19" s="68">
        <v>0</v>
      </c>
      <c r="J19" s="155">
        <v>326736731</v>
      </c>
      <c r="K19" s="68">
        <v>0</v>
      </c>
      <c r="L19" s="155">
        <v>326736731</v>
      </c>
      <c r="M19" s="68">
        <v>0</v>
      </c>
      <c r="N19" s="155">
        <v>61800000</v>
      </c>
      <c r="O19" s="68">
        <v>0</v>
      </c>
      <c r="P19" s="155">
        <v>61800000</v>
      </c>
      <c r="Q19" s="68">
        <v>0</v>
      </c>
      <c r="R19" s="136">
        <f t="shared" si="4"/>
        <v>3938687620</v>
      </c>
      <c r="S19" s="136">
        <f t="shared" si="5"/>
        <v>0</v>
      </c>
      <c r="T19" s="12">
        <f t="shared" si="6"/>
        <v>4204737045.1000004</v>
      </c>
      <c r="U19" s="12">
        <f t="shared" si="7"/>
        <v>0</v>
      </c>
      <c r="V19" s="94">
        <f t="shared" si="2"/>
        <v>3938.6876200000002</v>
      </c>
      <c r="W19" s="94">
        <f t="shared" si="3"/>
        <v>4204.7370451000006</v>
      </c>
    </row>
    <row r="20" spans="1:26" x14ac:dyDescent="0.25">
      <c r="A20" s="49"/>
      <c r="B20" s="58"/>
      <c r="C20" s="102">
        <v>12338450523</v>
      </c>
      <c r="D20" s="102"/>
      <c r="E20" s="102">
        <v>12329245468</v>
      </c>
      <c r="F20" s="102"/>
      <c r="G20" s="102">
        <v>2013137706.26</v>
      </c>
      <c r="H20" s="59"/>
      <c r="I20" s="102">
        <v>959394381.15999997</v>
      </c>
      <c r="J20" s="102"/>
      <c r="K20" s="102">
        <v>181919874</v>
      </c>
      <c r="L20" s="102"/>
      <c r="M20" s="102">
        <v>159405382</v>
      </c>
      <c r="N20" s="121"/>
      <c r="O20" s="121">
        <v>44545200</v>
      </c>
      <c r="P20" s="121"/>
      <c r="Q20" s="102">
        <v>44545200</v>
      </c>
      <c r="R20" s="60"/>
      <c r="S20" s="59">
        <f>T7-R7</f>
        <v>-2551299.8000030518</v>
      </c>
      <c r="T20" s="59"/>
      <c r="U20" s="59"/>
    </row>
    <row r="21" spans="1:26" x14ac:dyDescent="0.25">
      <c r="A21" s="49"/>
      <c r="B21" s="58"/>
      <c r="C21" s="59">
        <f>C20-C7</f>
        <v>12338450523</v>
      </c>
      <c r="D21" s="59"/>
      <c r="E21" s="59">
        <f>E20-E7</f>
        <v>12329245468</v>
      </c>
      <c r="F21" s="59"/>
      <c r="G21" s="59">
        <f>G20-G7</f>
        <v>2013137706.26</v>
      </c>
      <c r="H21" s="59"/>
      <c r="I21" s="59">
        <f>I20-I7</f>
        <v>959394381.15999997</v>
      </c>
      <c r="J21" s="59"/>
      <c r="K21" s="59">
        <f>K20-K7</f>
        <v>181919874</v>
      </c>
      <c r="L21" s="59"/>
      <c r="M21" s="59">
        <f>M20-M7</f>
        <v>159405382</v>
      </c>
      <c r="N21" s="59"/>
      <c r="O21" s="59">
        <f>O20-O7</f>
        <v>44545200</v>
      </c>
      <c r="P21" s="59"/>
      <c r="Q21" s="59">
        <f>Q20-Q7</f>
        <v>44545200</v>
      </c>
      <c r="R21" s="59"/>
      <c r="S21" s="59"/>
      <c r="T21" s="59"/>
      <c r="U21" s="59"/>
    </row>
    <row r="22" spans="1:26" ht="30" x14ac:dyDescent="0.25">
      <c r="A22" s="13" t="s">
        <v>25</v>
      </c>
      <c r="B22" s="56">
        <f>SUM(B8:B19)/$B$4</f>
        <v>1</v>
      </c>
      <c r="C22" s="14">
        <f>SUM(C8:C19)/B4</f>
        <v>0</v>
      </c>
      <c r="D22" s="56">
        <f>SUM(D8:D19)/$B$4</f>
        <v>1</v>
      </c>
      <c r="E22" s="14">
        <f>SUM(E8:E19)/$B$4</f>
        <v>0</v>
      </c>
      <c r="F22" s="56">
        <f>SUM(F8:F19)/$F$4</f>
        <v>1.0009880530505464</v>
      </c>
      <c r="G22" s="14">
        <f>SUM(G8:G19)/$F$4</f>
        <v>0</v>
      </c>
      <c r="H22" s="56">
        <f>SUM(H8:H19)/$F$4</f>
        <v>1.0000000000387277</v>
      </c>
      <c r="I22" s="14">
        <f>SUM(I8:I19)/$F$4</f>
        <v>0</v>
      </c>
      <c r="J22" s="56">
        <f>SUM(J8:J19)/$J$4</f>
        <v>0.75788270484377018</v>
      </c>
      <c r="K22" s="14">
        <f>SUM(K8:K19)/$J$4</f>
        <v>0</v>
      </c>
      <c r="L22" s="56">
        <f>SUM(L8:L19)/$J$4</f>
        <v>0.75788270484377018</v>
      </c>
      <c r="M22" s="14">
        <f>SUM(M8:M19)/$J$4</f>
        <v>0</v>
      </c>
      <c r="N22" s="56">
        <f>SUM(N8:N19)/$N$4</f>
        <v>0.9760230136965703</v>
      </c>
      <c r="O22" s="14">
        <f>SUM(O8:O19)/$N$4</f>
        <v>0</v>
      </c>
      <c r="P22" s="56">
        <f>SUM(P8:P19)/$N$4</f>
        <v>0.9760230136965703</v>
      </c>
      <c r="Q22" s="14">
        <f>SUM(Q8:Q19)/$N$4</f>
        <v>0</v>
      </c>
      <c r="R22" s="14">
        <f>SUM(R8:R19)/$R$2</f>
        <v>0.99292775386006604</v>
      </c>
      <c r="S22" s="14">
        <f>SUM(S8:S19)/$R$4</f>
        <v>0</v>
      </c>
      <c r="T22" s="56">
        <f>SUM(T8:T19)/$R$4</f>
        <v>0.99283523593234357</v>
      </c>
      <c r="U22" s="14">
        <f>SUM(U8:U19)/$R$4</f>
        <v>0</v>
      </c>
    </row>
    <row r="23" spans="1:26" ht="45" x14ac:dyDescent="0.25">
      <c r="A23" s="13"/>
      <c r="B23" s="61" t="s">
        <v>29</v>
      </c>
      <c r="C23" s="52" t="s">
        <v>30</v>
      </c>
      <c r="D23" s="61" t="s">
        <v>10</v>
      </c>
      <c r="E23" s="52" t="s">
        <v>31</v>
      </c>
      <c r="F23" s="61" t="s">
        <v>29</v>
      </c>
      <c r="G23" s="52" t="s">
        <v>30</v>
      </c>
      <c r="H23" s="61" t="s">
        <v>10</v>
      </c>
      <c r="I23" s="52" t="s">
        <v>31</v>
      </c>
      <c r="J23" s="61" t="s">
        <v>29</v>
      </c>
      <c r="K23" s="52" t="s">
        <v>30</v>
      </c>
      <c r="L23" s="61" t="s">
        <v>10</v>
      </c>
      <c r="M23" s="52" t="s">
        <v>31</v>
      </c>
      <c r="N23" s="61" t="s">
        <v>29</v>
      </c>
      <c r="O23" s="52" t="s">
        <v>30</v>
      </c>
      <c r="P23" s="61" t="s">
        <v>10</v>
      </c>
      <c r="Q23" s="52" t="s">
        <v>31</v>
      </c>
      <c r="R23" s="53" t="s">
        <v>29</v>
      </c>
      <c r="S23" s="65" t="s">
        <v>9</v>
      </c>
      <c r="T23" s="53" t="s">
        <v>10</v>
      </c>
      <c r="U23" s="65" t="s">
        <v>11</v>
      </c>
    </row>
    <row r="24" spans="1:26" x14ac:dyDescent="0.25">
      <c r="A24" s="15" t="s">
        <v>14</v>
      </c>
      <c r="B24" s="16">
        <f>B8/$B$4</f>
        <v>6.15505718259012E-2</v>
      </c>
      <c r="C24" s="71">
        <f>C8/$B$4</f>
        <v>0</v>
      </c>
      <c r="D24" s="16">
        <f>D8/$B$4</f>
        <v>6.15505718259012E-2</v>
      </c>
      <c r="E24" s="71">
        <f>E8/$B$4</f>
        <v>0</v>
      </c>
      <c r="F24" s="16">
        <f>F8/$F$4</f>
        <v>0.1866083226926474</v>
      </c>
      <c r="G24" s="71">
        <f>G8/$F$4</f>
        <v>0</v>
      </c>
      <c r="H24" s="16">
        <f>H8/$F$4</f>
        <v>5.8921889355171529E-3</v>
      </c>
      <c r="I24" s="71">
        <f>I8/$F$4</f>
        <v>0</v>
      </c>
      <c r="J24" s="16">
        <f>J8/$J$4</f>
        <v>3.4600737250406279E-2</v>
      </c>
      <c r="K24" s="71">
        <f>K8/$J$4</f>
        <v>0</v>
      </c>
      <c r="L24" s="16">
        <f>L8/$J$4</f>
        <v>3.4600737250406279E-2</v>
      </c>
      <c r="M24" s="71">
        <f>M8/$J$4</f>
        <v>0</v>
      </c>
      <c r="N24" s="16">
        <f>N8/$N$4</f>
        <v>0</v>
      </c>
      <c r="O24" s="71">
        <f>O8/$N$4</f>
        <v>0</v>
      </c>
      <c r="P24" s="16">
        <f>P8/$N$4</f>
        <v>0</v>
      </c>
      <c r="Q24" s="71">
        <f>Q8/$N$4</f>
        <v>0</v>
      </c>
      <c r="R24" s="16">
        <f>R8/$R$4</f>
        <v>7.2235850250191649E-2</v>
      </c>
      <c r="S24" s="71">
        <f>S8/$R$4</f>
        <v>0</v>
      </c>
      <c r="T24" s="16">
        <f>T8/$R$4</f>
        <v>5.5314205357458769E-2</v>
      </c>
      <c r="U24" s="71">
        <f>U8/$R$4</f>
        <v>0</v>
      </c>
    </row>
    <row r="25" spans="1:26" x14ac:dyDescent="0.25">
      <c r="A25" s="15" t="s">
        <v>15</v>
      </c>
      <c r="B25" s="16">
        <f t="shared" ref="B25:B35" si="8">(B9/$B$4)+B24</f>
        <v>0.12621865838111454</v>
      </c>
      <c r="C25" s="71">
        <f t="shared" ref="C25:C35" si="9">(C9/$B$4)+C24</f>
        <v>0</v>
      </c>
      <c r="D25" s="16">
        <f t="shared" ref="D25:D35" si="10">(D9/$B$4)+D24</f>
        <v>0.12621865838111454</v>
      </c>
      <c r="E25" s="71">
        <f t="shared" ref="E25:E35" si="11">(E9/$B$4)+E24</f>
        <v>0</v>
      </c>
      <c r="F25" s="16">
        <f t="shared" ref="F25:F35" si="12">(F9/$F$4)+F24</f>
        <v>0.32927121908199941</v>
      </c>
      <c r="G25" s="71">
        <f t="shared" ref="G25:G35" si="13">(G9/$F$4)+G24</f>
        <v>0</v>
      </c>
      <c r="H25" s="16">
        <f t="shared" ref="H25:H35" si="14">(H9/$F$4)+H24</f>
        <v>6.9364950593279157E-2</v>
      </c>
      <c r="I25" s="71">
        <f t="shared" ref="I25:I35" si="15">(I9/$F$4)+I24</f>
        <v>0</v>
      </c>
      <c r="J25" s="16">
        <f t="shared" ref="J25:J35" si="16">(J9/$J$4)+J24</f>
        <v>6.4325538479912847E-2</v>
      </c>
      <c r="K25" s="71">
        <f t="shared" ref="K25:K35" si="17">(K9/$J$4)+K24</f>
        <v>0</v>
      </c>
      <c r="L25" s="16">
        <f t="shared" ref="L25:L35" si="18">(L9/$J$4)+L24</f>
        <v>6.4325538479912847E-2</v>
      </c>
      <c r="M25" s="71">
        <f t="shared" ref="M25:M35" si="19">(M9/$J$4)+M24</f>
        <v>0</v>
      </c>
      <c r="N25" s="16">
        <f t="shared" ref="N25:N35" si="20">(N9/$N$4)+N24</f>
        <v>0</v>
      </c>
      <c r="O25" s="71">
        <f t="shared" ref="O25:O35" si="21">(O9/$N$4)+O24</f>
        <v>0</v>
      </c>
      <c r="P25" s="16">
        <f t="shared" ref="P25:P35" si="22">(P9/$N$4)+P24</f>
        <v>0</v>
      </c>
      <c r="Q25" s="71">
        <f t="shared" ref="Q25:Q35" si="23">(Q9/$N$4)+Q24</f>
        <v>0</v>
      </c>
      <c r="R25" s="16">
        <f t="shared" ref="R25:R35" si="24">(R9/$R$4)+R24</f>
        <v>0.1429368833183306</v>
      </c>
      <c r="S25" s="71">
        <f t="shared" ref="S25:S35" si="25">(S9/$R$4)+S24</f>
        <v>0</v>
      </c>
      <c r="T25" s="16">
        <f t="shared" ref="T25:T35" si="26">(T9/$R$4)+T24</f>
        <v>0.11860014320927054</v>
      </c>
      <c r="U25" s="71">
        <f t="shared" ref="U25:U35" si="27">(U9/$R$4)+U24</f>
        <v>0</v>
      </c>
    </row>
    <row r="26" spans="1:26" x14ac:dyDescent="0.25">
      <c r="A26" s="15" t="s">
        <v>16</v>
      </c>
      <c r="B26" s="16">
        <f t="shared" si="8"/>
        <v>0.19678321204319599</v>
      </c>
      <c r="C26" s="71">
        <f t="shared" si="9"/>
        <v>0</v>
      </c>
      <c r="D26" s="16">
        <f t="shared" si="10"/>
        <v>0.19678321204319599</v>
      </c>
      <c r="E26" s="71">
        <f t="shared" si="11"/>
        <v>0</v>
      </c>
      <c r="F26" s="16">
        <f t="shared" si="12"/>
        <v>0.4931599513227104</v>
      </c>
      <c r="G26" s="71">
        <f t="shared" si="13"/>
        <v>0</v>
      </c>
      <c r="H26" s="16">
        <f t="shared" si="14"/>
        <v>0.13377790713602203</v>
      </c>
      <c r="I26" s="71">
        <f t="shared" si="15"/>
        <v>0</v>
      </c>
      <c r="J26" s="16">
        <f t="shared" si="16"/>
        <v>9.4050339709419409E-2</v>
      </c>
      <c r="K26" s="71">
        <f t="shared" si="17"/>
        <v>0</v>
      </c>
      <c r="L26" s="16">
        <f t="shared" si="18"/>
        <v>9.4050339709419409E-2</v>
      </c>
      <c r="M26" s="71">
        <f t="shared" si="19"/>
        <v>0</v>
      </c>
      <c r="N26" s="16">
        <f t="shared" si="20"/>
        <v>0</v>
      </c>
      <c r="O26" s="71">
        <f t="shared" si="21"/>
        <v>0</v>
      </c>
      <c r="P26" s="16">
        <f t="shared" si="22"/>
        <v>0</v>
      </c>
      <c r="Q26" s="71">
        <f t="shared" si="23"/>
        <v>0</v>
      </c>
      <c r="R26" s="16">
        <f t="shared" si="24"/>
        <v>0.22077478551707527</v>
      </c>
      <c r="S26" s="71">
        <f t="shared" si="25"/>
        <v>0</v>
      </c>
      <c r="T26" s="16">
        <f t="shared" si="26"/>
        <v>0.1871234716796264</v>
      </c>
      <c r="U26" s="71">
        <f t="shared" si="27"/>
        <v>0</v>
      </c>
    </row>
    <row r="27" spans="1:26" x14ac:dyDescent="0.25">
      <c r="A27" s="15" t="s">
        <v>17</v>
      </c>
      <c r="B27" s="16">
        <f t="shared" si="8"/>
        <v>0.26689099712657638</v>
      </c>
      <c r="C27" s="71">
        <f t="shared" si="9"/>
        <v>0</v>
      </c>
      <c r="D27" s="16">
        <f t="shared" si="10"/>
        <v>0.26689099712657638</v>
      </c>
      <c r="E27" s="71">
        <f t="shared" si="11"/>
        <v>0</v>
      </c>
      <c r="F27" s="16">
        <f t="shared" si="12"/>
        <v>0.55738369542389243</v>
      </c>
      <c r="G27" s="71">
        <f t="shared" si="13"/>
        <v>0</v>
      </c>
      <c r="H27" s="16">
        <f t="shared" si="14"/>
        <v>0.21852643846576303</v>
      </c>
      <c r="I27" s="71">
        <f t="shared" si="15"/>
        <v>0</v>
      </c>
      <c r="J27" s="16">
        <f t="shared" si="16"/>
        <v>0.12377514093892597</v>
      </c>
      <c r="K27" s="71">
        <f t="shared" si="17"/>
        <v>0</v>
      </c>
      <c r="L27" s="16">
        <f t="shared" si="18"/>
        <v>0.12377514093892597</v>
      </c>
      <c r="M27" s="71">
        <f t="shared" si="19"/>
        <v>0</v>
      </c>
      <c r="N27" s="16">
        <f t="shared" si="20"/>
        <v>0.39522978924160435</v>
      </c>
      <c r="O27" s="71">
        <f t="shared" si="21"/>
        <v>0</v>
      </c>
      <c r="P27" s="16">
        <f t="shared" si="22"/>
        <v>0.39522978924160435</v>
      </c>
      <c r="Q27" s="71">
        <f t="shared" si="23"/>
        <v>0</v>
      </c>
      <c r="R27" s="16">
        <f t="shared" si="24"/>
        <v>0.29040654235737146</v>
      </c>
      <c r="S27" s="71">
        <f t="shared" si="25"/>
        <v>0</v>
      </c>
      <c r="T27" s="16">
        <f t="shared" si="26"/>
        <v>0.25867709987562199</v>
      </c>
      <c r="U27" s="71">
        <f t="shared" si="27"/>
        <v>0</v>
      </c>
    </row>
    <row r="28" spans="1:26" x14ac:dyDescent="0.25">
      <c r="A28" s="15" t="s">
        <v>12</v>
      </c>
      <c r="B28" s="16">
        <f t="shared" si="8"/>
        <v>0.35086063354792146</v>
      </c>
      <c r="C28" s="71">
        <f t="shared" si="9"/>
        <v>0</v>
      </c>
      <c r="D28" s="16">
        <f t="shared" si="10"/>
        <v>0.35086063354792146</v>
      </c>
      <c r="E28" s="71">
        <f t="shared" si="11"/>
        <v>0</v>
      </c>
      <c r="F28" s="16">
        <f t="shared" si="12"/>
        <v>0.63157333109437108</v>
      </c>
      <c r="G28" s="71">
        <f t="shared" si="13"/>
        <v>0</v>
      </c>
      <c r="H28" s="16">
        <f t="shared" si="14"/>
        <v>0.31586138668156483</v>
      </c>
      <c r="I28" s="71">
        <f t="shared" si="15"/>
        <v>0</v>
      </c>
      <c r="J28" s="16">
        <f t="shared" si="16"/>
        <v>0.15349994216843255</v>
      </c>
      <c r="K28" s="71">
        <f t="shared" si="17"/>
        <v>0</v>
      </c>
      <c r="L28" s="16">
        <f t="shared" si="18"/>
        <v>0.15349994216843255</v>
      </c>
      <c r="M28" s="71">
        <f t="shared" si="19"/>
        <v>0</v>
      </c>
      <c r="N28" s="16">
        <f t="shared" si="20"/>
        <v>0.39522978924160435</v>
      </c>
      <c r="O28" s="71">
        <f t="shared" si="21"/>
        <v>0</v>
      </c>
      <c r="P28" s="16">
        <f t="shared" si="22"/>
        <v>0.39522978924160435</v>
      </c>
      <c r="Q28" s="71">
        <f t="shared" si="23"/>
        <v>0</v>
      </c>
      <c r="R28" s="16">
        <f t="shared" si="24"/>
        <v>0.37155191469189397</v>
      </c>
      <c r="S28" s="71">
        <f t="shared" si="25"/>
        <v>0</v>
      </c>
      <c r="T28" s="16">
        <f t="shared" si="26"/>
        <v>0.34198972065487732</v>
      </c>
      <c r="U28" s="71">
        <f t="shared" si="27"/>
        <v>0</v>
      </c>
    </row>
    <row r="29" spans="1:26" x14ac:dyDescent="0.25">
      <c r="A29" s="15" t="s">
        <v>18</v>
      </c>
      <c r="B29" s="16">
        <f t="shared" si="8"/>
        <v>0.43521129340352549</v>
      </c>
      <c r="C29" s="71">
        <f t="shared" si="9"/>
        <v>0</v>
      </c>
      <c r="D29" s="16">
        <f t="shared" si="10"/>
        <v>0.43521129340352549</v>
      </c>
      <c r="E29" s="71">
        <f t="shared" si="11"/>
        <v>0</v>
      </c>
      <c r="F29" s="16">
        <f t="shared" si="12"/>
        <v>0.70522541163101871</v>
      </c>
      <c r="G29" s="71">
        <f t="shared" si="13"/>
        <v>0</v>
      </c>
      <c r="H29" s="16">
        <f t="shared" si="14"/>
        <v>0.41066432967241584</v>
      </c>
      <c r="I29" s="71">
        <f t="shared" si="15"/>
        <v>0</v>
      </c>
      <c r="J29" s="16">
        <f t="shared" si="16"/>
        <v>0.20362800743005571</v>
      </c>
      <c r="K29" s="71">
        <f t="shared" si="17"/>
        <v>0</v>
      </c>
      <c r="L29" s="16">
        <f t="shared" si="18"/>
        <v>0.20362800743005571</v>
      </c>
      <c r="M29" s="71">
        <f t="shared" si="19"/>
        <v>0</v>
      </c>
      <c r="N29" s="16">
        <f t="shared" si="20"/>
        <v>0.39522978924160435</v>
      </c>
      <c r="O29" s="71">
        <f t="shared" si="21"/>
        <v>0</v>
      </c>
      <c r="P29" s="16">
        <f t="shared" si="22"/>
        <v>0.39522978924160435</v>
      </c>
      <c r="Q29" s="71">
        <f t="shared" si="23"/>
        <v>0</v>
      </c>
      <c r="R29" s="16">
        <f t="shared" si="24"/>
        <v>0.4535756773048083</v>
      </c>
      <c r="S29" s="71">
        <f t="shared" si="25"/>
        <v>0</v>
      </c>
      <c r="T29" s="16">
        <f t="shared" si="26"/>
        <v>0.42599397818091361</v>
      </c>
      <c r="U29" s="71">
        <f t="shared" si="27"/>
        <v>0</v>
      </c>
    </row>
    <row r="30" spans="1:26" s="119" customFormat="1" x14ac:dyDescent="0.25">
      <c r="A30" s="116" t="s">
        <v>19</v>
      </c>
      <c r="B30" s="117">
        <f t="shared" si="8"/>
        <v>0.53971647604955653</v>
      </c>
      <c r="C30" s="118">
        <f t="shared" si="9"/>
        <v>0</v>
      </c>
      <c r="D30" s="117">
        <f t="shared" si="10"/>
        <v>0.53971647604955653</v>
      </c>
      <c r="E30" s="118">
        <f t="shared" si="11"/>
        <v>0</v>
      </c>
      <c r="F30" s="117">
        <f t="shared" si="12"/>
        <v>0.76110159878089123</v>
      </c>
      <c r="G30" s="118">
        <f t="shared" si="13"/>
        <v>0</v>
      </c>
      <c r="H30" s="117">
        <f t="shared" si="14"/>
        <v>0.50796336671083275</v>
      </c>
      <c r="I30" s="118">
        <f t="shared" si="15"/>
        <v>0</v>
      </c>
      <c r="J30" s="117">
        <f t="shared" si="16"/>
        <v>0.23335280865956226</v>
      </c>
      <c r="K30" s="118">
        <f t="shared" si="17"/>
        <v>0</v>
      </c>
      <c r="L30" s="117">
        <f t="shared" si="18"/>
        <v>0.23335280865956226</v>
      </c>
      <c r="M30" s="118">
        <f t="shared" si="19"/>
        <v>0</v>
      </c>
      <c r="N30" s="117">
        <f t="shared" si="20"/>
        <v>0.39522978924160435</v>
      </c>
      <c r="O30" s="118">
        <f t="shared" si="21"/>
        <v>0</v>
      </c>
      <c r="P30" s="117">
        <f t="shared" si="22"/>
        <v>0.39522978924160435</v>
      </c>
      <c r="Q30" s="118">
        <f t="shared" si="23"/>
        <v>0</v>
      </c>
      <c r="R30" s="117">
        <f t="shared" si="24"/>
        <v>0.55093982591505741</v>
      </c>
      <c r="S30" s="118">
        <f t="shared" si="25"/>
        <v>0</v>
      </c>
      <c r="T30" s="117">
        <f t="shared" si="26"/>
        <v>0.52723682174598585</v>
      </c>
      <c r="U30" s="118">
        <f t="shared" si="27"/>
        <v>0</v>
      </c>
      <c r="V30" s="144"/>
      <c r="W30" s="144"/>
      <c r="X30" s="144"/>
      <c r="Y30" s="144"/>
      <c r="Z30" s="144"/>
    </row>
    <row r="31" spans="1:26" x14ac:dyDescent="0.25">
      <c r="A31" s="15" t="s">
        <v>20</v>
      </c>
      <c r="B31" s="16">
        <f t="shared" si="8"/>
        <v>0.61371467148280412</v>
      </c>
      <c r="C31" s="71">
        <f t="shared" si="9"/>
        <v>0</v>
      </c>
      <c r="D31" s="16">
        <f t="shared" si="10"/>
        <v>0.61371467148280412</v>
      </c>
      <c r="E31" s="71">
        <f t="shared" si="11"/>
        <v>0</v>
      </c>
      <c r="F31" s="16">
        <f>(F15/$F$4)+F30</f>
        <v>0.82441345375268271</v>
      </c>
      <c r="G31" s="71">
        <f t="shared" si="13"/>
        <v>0</v>
      </c>
      <c r="H31" s="16">
        <f t="shared" si="14"/>
        <v>0.61966901015421771</v>
      </c>
      <c r="I31" s="71">
        <f t="shared" si="15"/>
        <v>0</v>
      </c>
      <c r="J31" s="16">
        <f t="shared" si="16"/>
        <v>0.26307760988906881</v>
      </c>
      <c r="K31" s="71">
        <f t="shared" si="17"/>
        <v>0</v>
      </c>
      <c r="L31" s="16">
        <f t="shared" si="18"/>
        <v>0.26307760988906881</v>
      </c>
      <c r="M31" s="71">
        <f t="shared" si="19"/>
        <v>0</v>
      </c>
      <c r="N31" s="16">
        <f t="shared" si="20"/>
        <v>0.39522978924160435</v>
      </c>
      <c r="O31" s="71">
        <f t="shared" si="21"/>
        <v>0</v>
      </c>
      <c r="P31" s="16">
        <f t="shared" si="22"/>
        <v>0.39522978924160435</v>
      </c>
      <c r="Q31" s="71">
        <f t="shared" si="23"/>
        <v>0</v>
      </c>
      <c r="R31" s="16">
        <f t="shared" si="24"/>
        <v>0.62235863242047984</v>
      </c>
      <c r="S31" s="71">
        <f t="shared" si="25"/>
        <v>0</v>
      </c>
      <c r="T31" s="16">
        <f t="shared" si="26"/>
        <v>0.60318705821565755</v>
      </c>
      <c r="U31" s="71">
        <f t="shared" si="27"/>
        <v>0</v>
      </c>
    </row>
    <row r="32" spans="1:26" x14ac:dyDescent="0.25">
      <c r="A32" s="15" t="s">
        <v>21</v>
      </c>
      <c r="B32" s="16">
        <f t="shared" si="8"/>
        <v>0.69137116798728471</v>
      </c>
      <c r="C32" s="71">
        <f t="shared" si="9"/>
        <v>0</v>
      </c>
      <c r="D32" s="16">
        <f t="shared" si="10"/>
        <v>0.69137116798728471</v>
      </c>
      <c r="E32" s="71">
        <f t="shared" si="11"/>
        <v>0</v>
      </c>
      <c r="F32" s="16">
        <f t="shared" si="12"/>
        <v>0.88482075098153712</v>
      </c>
      <c r="G32" s="71">
        <f t="shared" si="13"/>
        <v>0</v>
      </c>
      <c r="H32" s="16">
        <f t="shared" si="14"/>
        <v>0.7136762150839725</v>
      </c>
      <c r="I32" s="71">
        <f t="shared" si="15"/>
        <v>0</v>
      </c>
      <c r="J32" s="16">
        <f t="shared" si="16"/>
        <v>0.29280241111857536</v>
      </c>
      <c r="K32" s="71">
        <f t="shared" si="17"/>
        <v>0</v>
      </c>
      <c r="L32" s="16">
        <f t="shared" si="18"/>
        <v>0.29280241111857536</v>
      </c>
      <c r="M32" s="71">
        <f t="shared" si="19"/>
        <v>0</v>
      </c>
      <c r="N32" s="16">
        <f t="shared" si="20"/>
        <v>0.39522978924160435</v>
      </c>
      <c r="O32" s="71">
        <f t="shared" si="21"/>
        <v>0</v>
      </c>
      <c r="P32" s="16">
        <f t="shared" si="22"/>
        <v>0.39522978924160435</v>
      </c>
      <c r="Q32" s="71">
        <f t="shared" si="23"/>
        <v>0</v>
      </c>
      <c r="R32" s="16">
        <f t="shared" si="24"/>
        <v>0.69670024124588792</v>
      </c>
      <c r="S32" s="71">
        <f t="shared" si="25"/>
        <v>0</v>
      </c>
      <c r="T32" s="16">
        <f t="shared" si="26"/>
        <v>0.68067484826308844</v>
      </c>
      <c r="U32" s="71">
        <f t="shared" si="27"/>
        <v>0</v>
      </c>
    </row>
    <row r="33" spans="1:21" x14ac:dyDescent="0.25">
      <c r="A33" s="15" t="s">
        <v>22</v>
      </c>
      <c r="B33" s="16">
        <f t="shared" si="8"/>
        <v>0.76653619951703222</v>
      </c>
      <c r="C33" s="71">
        <f t="shared" si="9"/>
        <v>0</v>
      </c>
      <c r="D33" s="16">
        <f t="shared" si="10"/>
        <v>0.76653619951703222</v>
      </c>
      <c r="E33" s="71">
        <f t="shared" si="11"/>
        <v>0</v>
      </c>
      <c r="F33" s="16">
        <f t="shared" si="12"/>
        <v>0.945421685393254</v>
      </c>
      <c r="G33" s="71">
        <f t="shared" si="13"/>
        <v>0</v>
      </c>
      <c r="H33" s="16">
        <f t="shared" si="14"/>
        <v>0.8069088712822774</v>
      </c>
      <c r="I33" s="71">
        <f t="shared" si="15"/>
        <v>0</v>
      </c>
      <c r="J33" s="16">
        <f t="shared" si="16"/>
        <v>0.3225272123480819</v>
      </c>
      <c r="K33" s="71">
        <f t="shared" si="17"/>
        <v>0</v>
      </c>
      <c r="L33" s="16">
        <f t="shared" si="18"/>
        <v>0.3225272123480819</v>
      </c>
      <c r="M33" s="71">
        <f t="shared" si="19"/>
        <v>0</v>
      </c>
      <c r="N33" s="16">
        <f t="shared" si="20"/>
        <v>0.39522978924160435</v>
      </c>
      <c r="O33" s="71">
        <f t="shared" si="21"/>
        <v>0</v>
      </c>
      <c r="P33" s="16">
        <f t="shared" si="22"/>
        <v>0.39522978924160435</v>
      </c>
      <c r="Q33" s="71">
        <f t="shared" si="23"/>
        <v>0</v>
      </c>
      <c r="R33" s="16">
        <f t="shared" si="24"/>
        <v>0.76888419823458198</v>
      </c>
      <c r="S33" s="71">
        <f t="shared" si="25"/>
        <v>0</v>
      </c>
      <c r="T33" s="16">
        <f t="shared" si="26"/>
        <v>0.75591432883360721</v>
      </c>
      <c r="U33" s="71">
        <f t="shared" si="27"/>
        <v>0</v>
      </c>
    </row>
    <row r="34" spans="1:21" x14ac:dyDescent="0.25">
      <c r="A34" s="15" t="s">
        <v>23</v>
      </c>
      <c r="B34" s="16">
        <f t="shared" si="8"/>
        <v>0.85258205675065479</v>
      </c>
      <c r="C34" s="71">
        <f t="shared" si="9"/>
        <v>0</v>
      </c>
      <c r="D34" s="16">
        <f t="shared" si="10"/>
        <v>0.85258205675065479</v>
      </c>
      <c r="E34" s="71">
        <f t="shared" si="11"/>
        <v>0</v>
      </c>
      <c r="F34" s="16">
        <f t="shared" si="12"/>
        <v>1.0009880530505466</v>
      </c>
      <c r="G34" s="71">
        <f t="shared" si="13"/>
        <v>0</v>
      </c>
      <c r="H34" s="16">
        <f t="shared" si="14"/>
        <v>0.89696587768163771</v>
      </c>
      <c r="I34" s="71">
        <f t="shared" si="15"/>
        <v>0</v>
      </c>
      <c r="J34" s="16">
        <f t="shared" si="16"/>
        <v>0.35225201357758845</v>
      </c>
      <c r="K34" s="71">
        <f t="shared" si="17"/>
        <v>0</v>
      </c>
      <c r="L34" s="16">
        <f t="shared" si="18"/>
        <v>0.35225201357758845</v>
      </c>
      <c r="M34" s="71">
        <f t="shared" si="19"/>
        <v>0</v>
      </c>
      <c r="N34" s="16">
        <f t="shared" si="20"/>
        <v>0.39522978924160435</v>
      </c>
      <c r="O34" s="71">
        <f t="shared" si="21"/>
        <v>0</v>
      </c>
      <c r="P34" s="16">
        <f t="shared" si="22"/>
        <v>0.39522978924160435</v>
      </c>
      <c r="Q34" s="71">
        <f t="shared" si="23"/>
        <v>0</v>
      </c>
      <c r="R34" s="16">
        <f t="shared" si="24"/>
        <v>0.85009890381744802</v>
      </c>
      <c r="S34" s="71">
        <f t="shared" si="25"/>
        <v>0</v>
      </c>
      <c r="T34" s="16">
        <f t="shared" si="26"/>
        <v>0.84035862066747824</v>
      </c>
      <c r="U34" s="71">
        <f t="shared" si="27"/>
        <v>0</v>
      </c>
    </row>
    <row r="35" spans="1:21" x14ac:dyDescent="0.25">
      <c r="A35" s="15" t="s">
        <v>24</v>
      </c>
      <c r="B35" s="16">
        <f t="shared" si="8"/>
        <v>1.0000000000000002</v>
      </c>
      <c r="C35" s="71">
        <f t="shared" si="9"/>
        <v>0</v>
      </c>
      <c r="D35" s="16">
        <f t="shared" si="10"/>
        <v>1.0000000000000002</v>
      </c>
      <c r="E35" s="71">
        <f t="shared" si="11"/>
        <v>0</v>
      </c>
      <c r="F35" s="16">
        <f t="shared" si="12"/>
        <v>1.0009880530505466</v>
      </c>
      <c r="G35" s="71">
        <f t="shared" si="13"/>
        <v>0</v>
      </c>
      <c r="H35" s="16">
        <f t="shared" si="14"/>
        <v>1.0000000000387275</v>
      </c>
      <c r="I35" s="71">
        <f t="shared" si="15"/>
        <v>0</v>
      </c>
      <c r="J35" s="16">
        <f t="shared" si="16"/>
        <v>0.75788270484377018</v>
      </c>
      <c r="K35" s="71">
        <f t="shared" si="17"/>
        <v>0</v>
      </c>
      <c r="L35" s="16">
        <f t="shared" si="18"/>
        <v>0.75788270484377018</v>
      </c>
      <c r="M35" s="71">
        <f t="shared" si="19"/>
        <v>0</v>
      </c>
      <c r="N35" s="16">
        <f t="shared" si="20"/>
        <v>0.9760230136965703</v>
      </c>
      <c r="O35" s="71">
        <f t="shared" si="21"/>
        <v>0</v>
      </c>
      <c r="P35" s="16">
        <f t="shared" si="22"/>
        <v>0.9760230136965703</v>
      </c>
      <c r="Q35" s="71">
        <f t="shared" si="23"/>
        <v>0</v>
      </c>
      <c r="R35" s="16">
        <f t="shared" si="24"/>
        <v>0.99292775386006604</v>
      </c>
      <c r="S35" s="71">
        <f t="shared" si="25"/>
        <v>0</v>
      </c>
      <c r="T35" s="16">
        <f t="shared" si="26"/>
        <v>0.99283523593234368</v>
      </c>
      <c r="U35" s="71">
        <f t="shared" si="27"/>
        <v>0</v>
      </c>
    </row>
    <row r="36" spans="1:21" x14ac:dyDescent="0.25">
      <c r="A36" s="2">
        <v>1</v>
      </c>
      <c r="B36" s="2">
        <v>2</v>
      </c>
      <c r="C36" s="2">
        <v>3</v>
      </c>
      <c r="D36" s="2">
        <v>4</v>
      </c>
      <c r="E36" s="2">
        <v>5</v>
      </c>
      <c r="F36" s="2">
        <v>6</v>
      </c>
      <c r="G36" s="2">
        <v>7</v>
      </c>
      <c r="H36" s="2">
        <v>8</v>
      </c>
      <c r="I36" s="2">
        <v>9</v>
      </c>
      <c r="J36" s="2">
        <v>10</v>
      </c>
      <c r="K36" s="2">
        <v>11</v>
      </c>
      <c r="L36" s="2">
        <v>12</v>
      </c>
      <c r="M36" s="2">
        <v>13</v>
      </c>
      <c r="N36" s="2">
        <v>14</v>
      </c>
      <c r="O36" s="2">
        <v>15</v>
      </c>
      <c r="P36" s="2">
        <v>16</v>
      </c>
      <c r="Q36" s="2">
        <v>17</v>
      </c>
      <c r="R36" s="120"/>
      <c r="S36" s="2">
        <v>19</v>
      </c>
      <c r="T36" s="2">
        <v>20</v>
      </c>
      <c r="U36" s="2">
        <v>21</v>
      </c>
    </row>
    <row r="37" spans="1:21" hidden="1" x14ac:dyDescent="0.25"/>
    <row r="39" spans="1:21" x14ac:dyDescent="0.25">
      <c r="H39" s="120"/>
    </row>
  </sheetData>
  <autoFilter ref="A7:U36" xr:uid="{5B3AC336-53DE-43F7-8313-F3833B60B391}"/>
  <mergeCells count="7">
    <mergeCell ref="AA2:AE2"/>
    <mergeCell ref="AA4:AA5"/>
    <mergeCell ref="C2:E4"/>
    <mergeCell ref="G2:I4"/>
    <mergeCell ref="K2:M4"/>
    <mergeCell ref="O2:Q4"/>
    <mergeCell ref="S2:U4"/>
  </mergeCells>
  <conditionalFormatting sqref="AE4:AE5">
    <cfRule type="cellIs" dxfId="38" priority="4" operator="lessThan">
      <formula>0.0298</formula>
    </cfRule>
    <cfRule type="cellIs" dxfId="37" priority="5" operator="between">
      <formula>0.0299</formula>
      <formula>0.0599</formula>
    </cfRule>
    <cfRule type="cellIs" dxfId="36" priority="6" operator="greaterThan">
      <formula>0.06</formula>
    </cfRule>
  </conditionalFormatting>
  <dataValidations count="1">
    <dataValidation type="list" allowBlank="1" showInputMessage="1" showErrorMessage="1" sqref="AA4:AA5" xr:uid="{52208906-D082-4B47-BF69-FAC2537A7EB1}">
      <formula1>$A$8:$A$19</formula1>
    </dataValidation>
  </dataValidations>
  <pageMargins left="0.7" right="0.7" top="0.75" bottom="0.75" header="0.3" footer="0.3"/>
  <pageSetup orientation="portrait" r:id="rId1"/>
  <ignoredErrors>
    <ignoredError sqref="F24:F3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9325-EB0A-48DF-AB45-1CF7CC8BFD46}">
  <sheetPr>
    <tabColor theme="9"/>
  </sheetPr>
  <dimension ref="A2:L44"/>
  <sheetViews>
    <sheetView topLeftCell="A7" zoomScale="80" zoomScaleNormal="100" workbookViewId="0">
      <selection activeCell="D13" sqref="D13:D19"/>
    </sheetView>
  </sheetViews>
  <sheetFormatPr baseColWidth="10" defaultColWidth="11.42578125" defaultRowHeight="15" x14ac:dyDescent="0.25"/>
  <cols>
    <col min="1" max="1" width="22.42578125" style="2" customWidth="1"/>
    <col min="2" max="2" width="28" style="2" customWidth="1"/>
    <col min="3" max="3" width="26.140625" style="2" customWidth="1"/>
    <col min="4" max="6" width="20.5703125" style="2" customWidth="1"/>
    <col min="7" max="7" width="16.5703125" style="2" bestFit="1" customWidth="1"/>
    <col min="8" max="8" width="11.42578125" style="2"/>
    <col min="9" max="9" width="14" style="2" bestFit="1" customWidth="1"/>
    <col min="10" max="10" width="14.85546875" style="2" customWidth="1"/>
    <col min="11" max="13" width="14.7109375" style="2" customWidth="1"/>
    <col min="14" max="16384" width="11.42578125" style="2"/>
  </cols>
  <sheetData>
    <row r="2" spans="1:12" x14ac:dyDescent="0.25">
      <c r="B2" s="51"/>
    </row>
    <row r="4" spans="1:12" x14ac:dyDescent="0.25">
      <c r="B4" s="125"/>
    </row>
    <row r="5" spans="1:12" ht="60" customHeight="1" x14ac:dyDescent="0.25">
      <c r="A5" s="158"/>
      <c r="B5" s="160"/>
      <c r="C5" s="196" t="s">
        <v>37</v>
      </c>
      <c r="D5" s="196"/>
      <c r="E5" s="196"/>
      <c r="F5" s="162"/>
      <c r="H5" s="194" t="s">
        <v>2</v>
      </c>
      <c r="I5" s="194"/>
      <c r="J5" s="194"/>
      <c r="K5" s="194"/>
      <c r="L5" s="194"/>
    </row>
    <row r="6" spans="1:12" ht="36" x14ac:dyDescent="0.25">
      <c r="A6" s="39" t="s">
        <v>0</v>
      </c>
      <c r="B6" s="19">
        <f>'Inversion Politicas'!B3+'Inversion Asesoria '!B3+'Inversion TICs'!B3+'Inversion Infraestructura'!B3</f>
        <v>20397418487</v>
      </c>
      <c r="C6" s="196"/>
      <c r="D6" s="196"/>
      <c r="E6" s="196"/>
      <c r="F6" s="162"/>
      <c r="H6" s="158" t="s">
        <v>5</v>
      </c>
      <c r="I6" s="158" t="s">
        <v>33</v>
      </c>
      <c r="J6" s="158" t="s">
        <v>34</v>
      </c>
      <c r="K6" s="158" t="s">
        <v>35</v>
      </c>
      <c r="L6" s="158" t="s">
        <v>36</v>
      </c>
    </row>
    <row r="7" spans="1:12" ht="36" x14ac:dyDescent="0.25">
      <c r="A7" s="40" t="s">
        <v>3</v>
      </c>
      <c r="B7" s="20">
        <f>'Inversion Politicas'!B4+'Inversion Asesoria '!B4+'Inversion TICs'!B4+'Inversion Infraestructura'!B4</f>
        <v>0</v>
      </c>
      <c r="C7" s="196"/>
      <c r="D7" s="196"/>
      <c r="E7" s="196"/>
      <c r="F7" s="162"/>
      <c r="H7" s="194" t="s">
        <v>19</v>
      </c>
      <c r="I7" s="158" t="s">
        <v>6</v>
      </c>
      <c r="J7" s="154">
        <f>VLOOKUP($H$7,$A$29:$E$40,2,0)</f>
        <v>0.91158401490122853</v>
      </c>
      <c r="K7" s="154">
        <f>VLOOKUP($H$7,$A$29:$E$40,3,0)</f>
        <v>0</v>
      </c>
      <c r="L7" s="70">
        <f>J7-K7</f>
        <v>0.91158401490122853</v>
      </c>
    </row>
    <row r="8" spans="1:12" ht="16.5" x14ac:dyDescent="0.25">
      <c r="A8" s="41" t="s">
        <v>4</v>
      </c>
      <c r="B8" s="42">
        <f>B6-B7</f>
        <v>20397418487</v>
      </c>
      <c r="C8" s="42">
        <f>C6-C7</f>
        <v>0</v>
      </c>
      <c r="D8" s="42"/>
      <c r="E8" s="42">
        <f>E6-E7</f>
        <v>0</v>
      </c>
      <c r="F8" s="22"/>
      <c r="H8" s="194"/>
      <c r="I8" s="78" t="s">
        <v>7</v>
      </c>
      <c r="J8" s="79">
        <f>VLOOKUP($H$7,$A$29:$E$40,4,0)</f>
        <v>0.35102034980009744</v>
      </c>
      <c r="K8" s="79">
        <f>VLOOKUP($H$7,$A$29:$E$40,5,0)</f>
        <v>0</v>
      </c>
      <c r="L8" s="70">
        <f>J8-K8</f>
        <v>0.35102034980009744</v>
      </c>
    </row>
    <row r="9" spans="1:12" ht="15" customHeight="1" x14ac:dyDescent="0.25">
      <c r="A9" s="197"/>
      <c r="B9" s="198"/>
      <c r="C9" s="198"/>
      <c r="D9" s="198"/>
      <c r="E9" s="198"/>
      <c r="F9" s="161">
        <v>1000000</v>
      </c>
    </row>
    <row r="10" spans="1:12" ht="45" x14ac:dyDescent="0.25">
      <c r="A10" s="43"/>
      <c r="B10" s="44" t="s">
        <v>38</v>
      </c>
      <c r="C10" s="44" t="s">
        <v>39</v>
      </c>
      <c r="D10" s="44" t="s">
        <v>40</v>
      </c>
      <c r="E10" s="44" t="s">
        <v>41</v>
      </c>
      <c r="F10" s="23"/>
    </row>
    <row r="11" spans="1:12" x14ac:dyDescent="0.25">
      <c r="B11" s="51">
        <v>1000000</v>
      </c>
      <c r="E11" s="94"/>
      <c r="F11" s="94"/>
      <c r="G11" s="94"/>
    </row>
    <row r="12" spans="1:12" ht="40.5" customHeight="1" x14ac:dyDescent="0.25">
      <c r="A12" s="27" t="s">
        <v>13</v>
      </c>
      <c r="B12" s="28">
        <f>SUBTOTAL(9,B13:B24)</f>
        <v>20262995174</v>
      </c>
      <c r="C12" s="29">
        <f>SUBTOTAL(9,C13:C24)</f>
        <v>0</v>
      </c>
      <c r="D12" s="28">
        <f>SUBTOTAL(9,D13:D24)</f>
        <v>20200410484.996361</v>
      </c>
      <c r="E12" s="29">
        <f>SUBTOTAL(9,E13:E24)</f>
        <v>0</v>
      </c>
      <c r="F12" s="21"/>
      <c r="G12" s="94"/>
      <c r="H12" s="94"/>
      <c r="I12" s="94"/>
      <c r="J12" s="94"/>
    </row>
    <row r="13" spans="1:12" x14ac:dyDescent="0.25">
      <c r="A13" s="30" t="s">
        <v>14</v>
      </c>
      <c r="B13" s="31">
        <f>'Inversion Asesoria '!B10+'Inversion Politicas'!B10+'Inversion TICs'!B9+'Inversion Infraestructura'!B10</f>
        <v>11485731551</v>
      </c>
      <c r="C13" s="31">
        <f>'Inversion Asesoria '!C10+'Inversion Politicas'!C10+'Inversion TICs'!C9+'Inversion Infraestructura'!C10</f>
        <v>0</v>
      </c>
      <c r="D13" s="31">
        <f>'Inversion Asesoria '!E10+'Inversion Politicas'!E10+'Inversion TICs'!E9+'Inversion Infraestructura'!E10</f>
        <v>2816139</v>
      </c>
      <c r="E13" s="31">
        <f>'Inversion Asesoria '!F10+'Inversion Politicas'!F10+'Inversion TICs'!F9+'Inversion Infraestructura'!F10</f>
        <v>0</v>
      </c>
      <c r="F13" s="24">
        <f>E13/$F$9</f>
        <v>0</v>
      </c>
      <c r="G13" s="10"/>
    </row>
    <row r="14" spans="1:12" x14ac:dyDescent="0.25">
      <c r="A14" s="30" t="s">
        <v>15</v>
      </c>
      <c r="B14" s="31">
        <f>'Inversion Asesoria '!B11+'Inversion Politicas'!B11+'Inversion TICs'!B10+'Inversion Infraestructura'!B11</f>
        <v>2053115121</v>
      </c>
      <c r="C14" s="31">
        <f>'Inversion Asesoria '!C11+'Inversion Politicas'!C11+'Inversion TICs'!C10+'Inversion Infraestructura'!C11</f>
        <v>0</v>
      </c>
      <c r="D14" s="31">
        <f>'Inversion Asesoria '!E11+'Inversion Politicas'!E11+'Inversion TICs'!E10+'Inversion Infraestructura'!E11</f>
        <v>448753558.24000001</v>
      </c>
      <c r="E14" s="31">
        <f>'Inversion Asesoria '!F11+'Inversion Politicas'!F11+'Inversion TICs'!F10+'Inversion Infraestructura'!F11</f>
        <v>0</v>
      </c>
      <c r="F14" s="24">
        <f>(E14+F13)/$F$9</f>
        <v>0</v>
      </c>
      <c r="G14" s="10"/>
    </row>
    <row r="15" spans="1:12" x14ac:dyDescent="0.25">
      <c r="A15" s="30" t="s">
        <v>16</v>
      </c>
      <c r="B15" s="31">
        <f>'Inversion Asesoria '!B12+'Inversion Politicas'!B12+'Inversion TICs'!B11+'Inversion Infraestructura'!B12</f>
        <v>183684616</v>
      </c>
      <c r="C15" s="31">
        <f>'Inversion Asesoria '!C12+'Inversion Politicas'!C12+'Inversion TICs'!C11+'Inversion Infraestructura'!C12</f>
        <v>0</v>
      </c>
      <c r="D15" s="31">
        <f>'Inversion Asesoria '!E12+'Inversion Politicas'!E12+'Inversion TICs'!E11+'Inversion Infraestructura'!E12</f>
        <v>1159125536.4533331</v>
      </c>
      <c r="E15" s="31">
        <f>'Inversion Asesoria '!F12+'Inversion Politicas'!F12+'Inversion TICs'!F11+'Inversion Infraestructura'!F12</f>
        <v>0</v>
      </c>
      <c r="F15" s="24">
        <f t="shared" ref="F15:F18" si="0">(E15+F14)/$F$9</f>
        <v>0</v>
      </c>
      <c r="G15" s="10"/>
    </row>
    <row r="16" spans="1:12" x14ac:dyDescent="0.25">
      <c r="A16" s="30" t="s">
        <v>17</v>
      </c>
      <c r="B16" s="31">
        <f>'Inversion Asesoria '!B13+'Inversion Politicas'!B13+'Inversion TICs'!B12+'Inversion Infraestructura'!B13</f>
        <v>838327594</v>
      </c>
      <c r="C16" s="31">
        <f>'Inversion Asesoria '!C13+'Inversion Politicas'!C13+'Inversion TICs'!C12+'Inversion Infraestructura'!C13</f>
        <v>0</v>
      </c>
      <c r="D16" s="31">
        <f>'Inversion Asesoria '!E13+'Inversion Politicas'!E13+'Inversion TICs'!E12+'Inversion Infraestructura'!E13</f>
        <v>1538228220.4266665</v>
      </c>
      <c r="E16" s="31">
        <f>'Inversion Asesoria '!F13+'Inversion Politicas'!F13+'Inversion TICs'!F12+'Inversion Infraestructura'!F13</f>
        <v>0</v>
      </c>
      <c r="F16" s="24">
        <f t="shared" si="0"/>
        <v>0</v>
      </c>
      <c r="G16" s="10"/>
    </row>
    <row r="17" spans="1:7" x14ac:dyDescent="0.25">
      <c r="A17" s="30" t="s">
        <v>12</v>
      </c>
      <c r="B17" s="31">
        <f>'Inversion Asesoria '!B14+'Inversion Politicas'!B14+'Inversion TICs'!B13+'Inversion Infraestructura'!B14</f>
        <v>231279164</v>
      </c>
      <c r="C17" s="31">
        <f>'Inversion Asesoria '!C14+'Inversion Politicas'!C14+'Inversion TICs'!C13+'Inversion Infraestructura'!C14</f>
        <v>0</v>
      </c>
      <c r="D17" s="31">
        <f>'Inversion Asesoria '!E14+'Inversion Politicas'!E14+'Inversion TICs'!E13+'Inversion Infraestructura'!E14</f>
        <v>1157887512.7599998</v>
      </c>
      <c r="E17" s="31">
        <f>'Inversion Asesoria '!F14+'Inversion Politicas'!F14+'Inversion TICs'!F13+'Inversion Infraestructura'!F14</f>
        <v>0</v>
      </c>
      <c r="F17" s="24">
        <f t="shared" si="0"/>
        <v>0</v>
      </c>
      <c r="G17" s="10"/>
    </row>
    <row r="18" spans="1:7" x14ac:dyDescent="0.25">
      <c r="A18" s="30" t="s">
        <v>18</v>
      </c>
      <c r="B18" s="31">
        <f>'Inversion Asesoria '!B15+'Inversion Politicas'!B15+'Inversion TICs'!B14+'Inversion Infraestructura'!B15</f>
        <v>2973407500</v>
      </c>
      <c r="C18" s="31">
        <f>'Inversion Asesoria '!C15+'Inversion Politicas'!C15+'Inversion TICs'!C14+'Inversion Infraestructura'!C15</f>
        <v>0</v>
      </c>
      <c r="D18" s="31">
        <f>'Inversion Asesoria '!E15+'Inversion Politicas'!E15+'Inversion TICs'!E14+'Inversion Infraestructura'!E15</f>
        <v>1230068732.5428569</v>
      </c>
      <c r="E18" s="31">
        <f>'Inversion Asesoria '!F15+'Inversion Politicas'!F15+'Inversion TICs'!F14+'Inversion Infraestructura'!F15</f>
        <v>0</v>
      </c>
      <c r="F18" s="24">
        <f t="shared" si="0"/>
        <v>0</v>
      </c>
      <c r="G18" s="10"/>
    </row>
    <row r="19" spans="1:7" x14ac:dyDescent="0.25">
      <c r="A19" s="30" t="s">
        <v>19</v>
      </c>
      <c r="B19" s="31">
        <f>'Inversion Asesoria '!B16+'Inversion Politicas'!B16+'Inversion TICs'!B15+'Inversion Infraestructura'!B16</f>
        <v>828415092</v>
      </c>
      <c r="C19" s="31">
        <f>'Inversion Asesoria '!C16+'Inversion Politicas'!C16+'Inversion TICs'!C15+'Inversion Infraestructura'!C16</f>
        <v>0</v>
      </c>
      <c r="D19" s="31">
        <f>'Inversion Asesoria '!E16+'Inversion Politicas'!E16+'Inversion TICs'!E15+'Inversion Infraestructura'!E16</f>
        <v>1623029272.9028571</v>
      </c>
      <c r="E19" s="31">
        <f>'Inversion Asesoria '!F16+'Inversion Politicas'!F16+'Inversion TICs'!F15+'Inversion Infraestructura'!F16</f>
        <v>0</v>
      </c>
      <c r="F19" s="24"/>
      <c r="G19" s="10"/>
    </row>
    <row r="20" spans="1:7" x14ac:dyDescent="0.25">
      <c r="A20" s="30" t="s">
        <v>20</v>
      </c>
      <c r="B20" s="31">
        <f>'Inversion Asesoria '!B17+'Inversion Politicas'!B17+'Inversion TICs'!B16+'Inversion Infraestructura'!B17</f>
        <v>673879540</v>
      </c>
      <c r="C20" s="31">
        <f>'Inversion Asesoria '!C17+'Inversion Politicas'!C17+'Inversion TICs'!C16+'Inversion Infraestructura'!C17</f>
        <v>0</v>
      </c>
      <c r="D20" s="31">
        <f>'Inversion Asesoria '!E17+'Inversion Politicas'!E17+'Inversion TICs'!E16+'Inversion Infraestructura'!E17</f>
        <v>2196101413.9028568</v>
      </c>
      <c r="E20" s="31">
        <f>'Inversion Asesoria '!F17+'Inversion Politicas'!F17+'Inversion TICs'!F16+'Inversion Infraestructura'!F17</f>
        <v>0</v>
      </c>
      <c r="F20" s="24"/>
      <c r="G20" s="10"/>
    </row>
    <row r="21" spans="1:7" x14ac:dyDescent="0.25">
      <c r="A21" s="30" t="s">
        <v>21</v>
      </c>
      <c r="B21" s="31">
        <f>'Inversion Asesoria '!B18+'Inversion Politicas'!B18+'Inversion TICs'!B17+'Inversion Infraestructura'!B18</f>
        <v>92100000</v>
      </c>
      <c r="C21" s="31">
        <f>'Inversion Asesoria '!C18+'Inversion Politicas'!C18+'Inversion TICs'!C17+'Inversion Infraestructura'!C18</f>
        <v>0</v>
      </c>
      <c r="D21" s="31">
        <f>'Inversion Asesoria '!E18+'Inversion Politicas'!E18+'Inversion TICs'!E17+'Inversion Infraestructura'!E18</f>
        <v>1549202472.9028568</v>
      </c>
      <c r="E21" s="31">
        <f>'Inversion Asesoria '!F18+'Inversion Politicas'!F18+'Inversion TICs'!F17+'Inversion Infraestructura'!F18</f>
        <v>0</v>
      </c>
      <c r="F21" s="24"/>
      <c r="G21" s="10"/>
    </row>
    <row r="22" spans="1:7" x14ac:dyDescent="0.25">
      <c r="A22" s="30" t="s">
        <v>22</v>
      </c>
      <c r="B22" s="31">
        <f>'Inversion Asesoria '!B19+'Inversion Politicas'!B19+'Inversion TICs'!B18+'Inversion Infraestructura'!B19</f>
        <v>489709995</v>
      </c>
      <c r="C22" s="31">
        <f>'Inversion Asesoria '!C19+'Inversion Politicas'!C19+'Inversion TICs'!C18+'Inversion Infraestructura'!C19</f>
        <v>0</v>
      </c>
      <c r="D22" s="31">
        <f>'Inversion Asesoria '!E19+'Inversion Politicas'!E19+'Inversion TICs'!E18+'Inversion Infraestructura'!E19</f>
        <v>2469045332.9610391</v>
      </c>
      <c r="E22" s="31">
        <f>'Inversion Asesoria '!F19+'Inversion Politicas'!F19+'Inversion TICs'!F18+'Inversion Infraestructura'!F19</f>
        <v>0</v>
      </c>
      <c r="F22" s="24"/>
      <c r="G22" s="10"/>
    </row>
    <row r="23" spans="1:7" x14ac:dyDescent="0.25">
      <c r="A23" s="30" t="s">
        <v>23</v>
      </c>
      <c r="B23" s="31">
        <f>'Inversion Asesoria '!B20+'Inversion Politicas'!B20+'Inversion TICs'!B19+'Inversion Infraestructura'!B20</f>
        <v>195179739</v>
      </c>
      <c r="C23" s="31">
        <f>'Inversion Asesoria '!C20+'Inversion Politicas'!C20+'Inversion TICs'!C19+'Inversion Infraestructura'!C20</f>
        <v>0</v>
      </c>
      <c r="D23" s="31">
        <f>'Inversion Asesoria '!E20+'Inversion Politicas'!E20+'Inversion TICs'!E19+'Inversion Infraestructura'!E20</f>
        <v>2585923829.9028568</v>
      </c>
      <c r="E23" s="31">
        <f>'Inversion Asesoria '!F20+'Inversion Politicas'!F20+'Inversion TICs'!F19+'Inversion Infraestructura'!F20</f>
        <v>0</v>
      </c>
      <c r="F23" s="24"/>
      <c r="G23" s="10"/>
    </row>
    <row r="24" spans="1:7" x14ac:dyDescent="0.25">
      <c r="A24" s="30" t="s">
        <v>24</v>
      </c>
      <c r="B24" s="31">
        <f>'Inversion Asesoria '!B21+'Inversion Politicas'!B21+'Inversion TICs'!B20+'Inversion Infraestructura'!B21</f>
        <v>218165262</v>
      </c>
      <c r="C24" s="31">
        <f>'Inversion Asesoria '!C21+'Inversion Politicas'!C21+'Inversion TICs'!C20+'Inversion Infraestructura'!C21</f>
        <v>0</v>
      </c>
      <c r="D24" s="31">
        <f>'Inversion Asesoria '!E21+'Inversion Politicas'!E21+'Inversion TICs'!E20+'Inversion Infraestructura'!E21</f>
        <v>4240228463.0010386</v>
      </c>
      <c r="E24" s="31">
        <f>'Inversion Asesoria '!F21+'Inversion Politicas'!F21+'Inversion TICs'!F20+'Inversion Infraestructura'!F21</f>
        <v>0</v>
      </c>
      <c r="F24" s="24"/>
      <c r="G24" s="10"/>
    </row>
    <row r="25" spans="1:7" x14ac:dyDescent="0.25">
      <c r="A25" s="49"/>
      <c r="B25" s="50"/>
      <c r="C25" s="50"/>
      <c r="D25" s="50"/>
      <c r="E25" s="50"/>
      <c r="F25" s="50"/>
      <c r="G25" s="10"/>
    </row>
    <row r="26" spans="1:7" x14ac:dyDescent="0.25">
      <c r="A26" s="49"/>
      <c r="B26" s="50"/>
      <c r="C26" s="50"/>
      <c r="D26" s="50"/>
      <c r="E26" s="50"/>
      <c r="F26" s="50"/>
      <c r="G26" s="10"/>
    </row>
    <row r="27" spans="1:7" ht="30" x14ac:dyDescent="0.25">
      <c r="A27" s="33" t="s">
        <v>25</v>
      </c>
      <c r="B27" s="35">
        <f>SUM(B13:B24)/B8</f>
        <v>0.99340978795499668</v>
      </c>
      <c r="C27" s="34">
        <f>SUM(C13:C24)/B8</f>
        <v>0</v>
      </c>
      <c r="D27" s="35">
        <f>SUM(D13:D24)/B8</f>
        <v>0.99034152277018783</v>
      </c>
      <c r="E27" s="34">
        <f>SUM(E13:E24)/B8</f>
        <v>0</v>
      </c>
      <c r="F27" s="25"/>
    </row>
    <row r="28" spans="1:7" ht="45" x14ac:dyDescent="0.25">
      <c r="A28" s="33"/>
      <c r="B28" s="48" t="s">
        <v>38</v>
      </c>
      <c r="C28" s="44" t="s">
        <v>39</v>
      </c>
      <c r="D28" s="48" t="s">
        <v>40</v>
      </c>
      <c r="E28" s="44" t="s">
        <v>41</v>
      </c>
      <c r="F28" s="23"/>
    </row>
    <row r="29" spans="1:7" x14ac:dyDescent="0.25">
      <c r="A29" s="36" t="s">
        <v>14</v>
      </c>
      <c r="B29" s="137">
        <f>(B13/$B$8)</f>
        <v>0.563097313433083</v>
      </c>
      <c r="C29" s="37">
        <f>(C13/$B$8)</f>
        <v>0</v>
      </c>
      <c r="D29" s="137">
        <f>(D13/$B$8)</f>
        <v>1.3806350062361202E-4</v>
      </c>
      <c r="E29" s="37">
        <f>(E13/$B$8)</f>
        <v>0</v>
      </c>
      <c r="F29" s="26"/>
    </row>
    <row r="30" spans="1:7" x14ac:dyDescent="0.25">
      <c r="A30" s="36" t="s">
        <v>15</v>
      </c>
      <c r="B30" s="137">
        <f t="shared" ref="B30:C40" si="1">(B14/$B$8)+B29</f>
        <v>0.66375294896404602</v>
      </c>
      <c r="C30" s="37">
        <f t="shared" si="1"/>
        <v>0</v>
      </c>
      <c r="D30" s="137">
        <f t="shared" ref="D30:E40" si="2">(D14/$B$8)+D29</f>
        <v>2.2138570992589156E-2</v>
      </c>
      <c r="E30" s="37">
        <f t="shared" si="2"/>
        <v>0</v>
      </c>
      <c r="F30" s="26"/>
    </row>
    <row r="31" spans="1:7" x14ac:dyDescent="0.25">
      <c r="A31" s="36" t="s">
        <v>16</v>
      </c>
      <c r="B31" s="137">
        <f t="shared" si="1"/>
        <v>0.67275823637907206</v>
      </c>
      <c r="C31" s="37">
        <f t="shared" si="1"/>
        <v>0</v>
      </c>
      <c r="D31" s="137">
        <f t="shared" si="2"/>
        <v>7.8965641398193911E-2</v>
      </c>
      <c r="E31" s="37">
        <f t="shared" si="2"/>
        <v>0</v>
      </c>
      <c r="F31" s="26"/>
    </row>
    <row r="32" spans="1:7" x14ac:dyDescent="0.25">
      <c r="A32" s="36" t="s">
        <v>17</v>
      </c>
      <c r="B32" s="137">
        <f t="shared" si="1"/>
        <v>0.71385792723133834</v>
      </c>
      <c r="C32" s="37">
        <f t="shared" si="1"/>
        <v>0</v>
      </c>
      <c r="D32" s="137">
        <f t="shared" si="2"/>
        <v>0.15437852864208873</v>
      </c>
      <c r="E32" s="37">
        <f t="shared" si="2"/>
        <v>0</v>
      </c>
      <c r="F32" s="26"/>
    </row>
    <row r="33" spans="1:6" x14ac:dyDescent="0.25">
      <c r="A33" s="36" t="s">
        <v>12</v>
      </c>
      <c r="B33" s="137">
        <f t="shared" si="1"/>
        <v>0.72519657599943621</v>
      </c>
      <c r="C33" s="37">
        <f t="shared" si="1"/>
        <v>0</v>
      </c>
      <c r="D33" s="137">
        <f t="shared" si="2"/>
        <v>0.21114490393109714</v>
      </c>
      <c r="E33" s="37">
        <f t="shared" si="2"/>
        <v>0</v>
      </c>
      <c r="F33" s="26"/>
    </row>
    <row r="34" spans="1:6" x14ac:dyDescent="0.25">
      <c r="A34" s="36" t="s">
        <v>18</v>
      </c>
      <c r="B34" s="137">
        <f t="shared" si="1"/>
        <v>0.87097029250650593</v>
      </c>
      <c r="C34" s="37">
        <f t="shared" si="1"/>
        <v>0</v>
      </c>
      <c r="D34" s="137">
        <f t="shared" si="2"/>
        <v>0.27145002211685304</v>
      </c>
      <c r="E34" s="37">
        <f t="shared" si="2"/>
        <v>0</v>
      </c>
      <c r="F34" s="26"/>
    </row>
    <row r="35" spans="1:6" x14ac:dyDescent="0.25">
      <c r="A35" s="36" t="s">
        <v>19</v>
      </c>
      <c r="B35" s="137">
        <f t="shared" si="1"/>
        <v>0.91158401490122853</v>
      </c>
      <c r="C35" s="37">
        <f t="shared" si="1"/>
        <v>0</v>
      </c>
      <c r="D35" s="137">
        <f t="shared" si="2"/>
        <v>0.35102034980009744</v>
      </c>
      <c r="E35" s="37">
        <f t="shared" si="2"/>
        <v>0</v>
      </c>
      <c r="F35" s="26"/>
    </row>
    <row r="36" spans="1:6" x14ac:dyDescent="0.25">
      <c r="A36" s="36" t="s">
        <v>20</v>
      </c>
      <c r="B36" s="137">
        <f t="shared" si="1"/>
        <v>0.94462150640680742</v>
      </c>
      <c r="C36" s="37">
        <f t="shared" si="1"/>
        <v>0</v>
      </c>
      <c r="D36" s="137">
        <f t="shared" si="2"/>
        <v>0.4586860044172496</v>
      </c>
      <c r="E36" s="37">
        <f t="shared" si="2"/>
        <v>0</v>
      </c>
      <c r="F36" s="26"/>
    </row>
    <row r="37" spans="1:6" x14ac:dyDescent="0.25">
      <c r="A37" s="36" t="s">
        <v>21</v>
      </c>
      <c r="B37" s="137">
        <f t="shared" si="1"/>
        <v>0.94913678367381538</v>
      </c>
      <c r="C37" s="37">
        <f t="shared" si="1"/>
        <v>0</v>
      </c>
      <c r="D37" s="137">
        <f t="shared" si="2"/>
        <v>0.53463691329771501</v>
      </c>
      <c r="E37" s="37">
        <f t="shared" si="2"/>
        <v>0</v>
      </c>
      <c r="F37" s="26"/>
    </row>
    <row r="38" spans="1:6" x14ac:dyDescent="0.25">
      <c r="A38" s="36" t="s">
        <v>22</v>
      </c>
      <c r="B38" s="137">
        <f t="shared" si="1"/>
        <v>0.97314521372647667</v>
      </c>
      <c r="C38" s="37">
        <f t="shared" si="1"/>
        <v>0</v>
      </c>
      <c r="D38" s="137">
        <f t="shared" si="2"/>
        <v>0.65568386512324373</v>
      </c>
      <c r="E38" s="37">
        <f t="shared" si="2"/>
        <v>0</v>
      </c>
      <c r="F38" s="26"/>
    </row>
    <row r="39" spans="1:6" x14ac:dyDescent="0.25">
      <c r="A39" s="36" t="s">
        <v>23</v>
      </c>
      <c r="B39" s="137">
        <f t="shared" si="1"/>
        <v>0.98271405887834695</v>
      </c>
      <c r="C39" s="37">
        <f t="shared" si="1"/>
        <v>0</v>
      </c>
      <c r="D39" s="137">
        <f t="shared" si="2"/>
        <v>0.78246088014359827</v>
      </c>
      <c r="E39" s="37">
        <f t="shared" si="2"/>
        <v>0</v>
      </c>
      <c r="F39" s="26"/>
    </row>
    <row r="40" spans="1:6" x14ac:dyDescent="0.25">
      <c r="A40" s="36" t="s">
        <v>24</v>
      </c>
      <c r="B40" s="137">
        <f t="shared" si="1"/>
        <v>0.99340978795499679</v>
      </c>
      <c r="C40" s="37">
        <f t="shared" si="1"/>
        <v>0</v>
      </c>
      <c r="D40" s="137">
        <f t="shared" si="2"/>
        <v>0.99034152277018783</v>
      </c>
      <c r="E40" s="37">
        <f t="shared" si="2"/>
        <v>0</v>
      </c>
      <c r="F40" s="26"/>
    </row>
    <row r="41" spans="1:6" x14ac:dyDescent="0.25">
      <c r="D41" s="137"/>
    </row>
    <row r="43" spans="1:6" ht="15.75" customHeight="1" x14ac:dyDescent="0.25"/>
    <row r="44" spans="1:6" x14ac:dyDescent="0.25">
      <c r="B44" s="94">
        <f>B12/$B$11</f>
        <v>20262.995174</v>
      </c>
      <c r="C44" s="94">
        <f t="shared" ref="C44:E44" si="3">C12/$B$11</f>
        <v>0</v>
      </c>
      <c r="D44" s="94">
        <f t="shared" si="3"/>
        <v>20200.410484996362</v>
      </c>
      <c r="E44" s="94">
        <f t="shared" si="3"/>
        <v>0</v>
      </c>
      <c r="F44" s="94"/>
    </row>
  </sheetData>
  <autoFilter ref="A12:E40" xr:uid="{F59E87A9-A62F-4A0A-8081-21FDA338456F}"/>
  <mergeCells count="4">
    <mergeCell ref="C5:E7"/>
    <mergeCell ref="A9:E9"/>
    <mergeCell ref="H7:H8"/>
    <mergeCell ref="H5:L5"/>
  </mergeCells>
  <conditionalFormatting sqref="L7">
    <cfRule type="cellIs" dxfId="35" priority="4" operator="lessThan">
      <formula>0.0298</formula>
    </cfRule>
    <cfRule type="cellIs" dxfId="34" priority="5" operator="between">
      <formula>0.0299</formula>
      <formula>0.0599</formula>
    </cfRule>
    <cfRule type="cellIs" dxfId="33" priority="6" operator="greaterThan">
      <formula>0.06</formula>
    </cfRule>
  </conditionalFormatting>
  <conditionalFormatting sqref="L8">
    <cfRule type="cellIs" dxfId="32" priority="1" operator="lessThan">
      <formula>0.0298</formula>
    </cfRule>
    <cfRule type="cellIs" dxfId="31" priority="2" operator="between">
      <formula>0.0299</formula>
      <formula>0.0599</formula>
    </cfRule>
    <cfRule type="cellIs" dxfId="30" priority="3" operator="greaterThan">
      <formula>0.06</formula>
    </cfRule>
  </conditionalFormatting>
  <dataValidations count="1">
    <dataValidation type="list" allowBlank="1" showInputMessage="1" showErrorMessage="1" sqref="H7" xr:uid="{80D80E40-67C3-4B99-B6AF-2AD64E73C2CA}">
      <formula1>$A$13:$A$24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33607-9C07-452F-A345-0A8EF8A84F13}">
  <sheetPr>
    <tabColor theme="9"/>
  </sheetPr>
  <dimension ref="A2:V37"/>
  <sheetViews>
    <sheetView topLeftCell="B4" zoomScaleNormal="100" workbookViewId="0">
      <selection activeCell="R25" sqref="R25"/>
    </sheetView>
  </sheetViews>
  <sheetFormatPr baseColWidth="10" defaultColWidth="11.42578125" defaultRowHeight="15" x14ac:dyDescent="0.25"/>
  <cols>
    <col min="1" max="1" width="22.42578125" style="2" customWidth="1"/>
    <col min="2" max="2" width="28" style="2" customWidth="1"/>
    <col min="3" max="3" width="26.140625" style="2" customWidth="1"/>
    <col min="4" max="4" width="26.140625" style="2" hidden="1" customWidth="1"/>
    <col min="5" max="6" width="21.7109375" style="2" bestFit="1" customWidth="1"/>
    <col min="7" max="7" width="14.7109375" style="2" bestFit="1" customWidth="1"/>
    <col min="8" max="8" width="14.7109375" style="2" customWidth="1"/>
    <col min="9" max="9" width="18.42578125" style="2" bestFit="1" customWidth="1"/>
    <col min="10" max="10" width="17.7109375" style="2" bestFit="1" customWidth="1"/>
    <col min="11" max="11" width="11.42578125" style="2"/>
    <col min="12" max="12" width="14.85546875" style="2" customWidth="1"/>
    <col min="13" max="13" width="14.7109375" style="2" customWidth="1"/>
    <col min="14" max="21" width="11.42578125" style="2"/>
    <col min="22" max="22" width="14" style="2" bestFit="1" customWidth="1"/>
    <col min="23" max="16384" width="11.42578125" style="2"/>
  </cols>
  <sheetData>
    <row r="2" spans="1:22" ht="60" customHeight="1" x14ac:dyDescent="0.25">
      <c r="A2" s="158" t="s">
        <v>48</v>
      </c>
      <c r="B2" s="160">
        <v>2019011000169</v>
      </c>
      <c r="C2" s="199" t="s">
        <v>49</v>
      </c>
      <c r="D2" s="199"/>
      <c r="E2" s="199"/>
      <c r="F2" s="199"/>
      <c r="G2" s="159"/>
      <c r="H2" s="159"/>
      <c r="K2" s="179" t="s">
        <v>2</v>
      </c>
      <c r="L2" s="180"/>
      <c r="M2" s="181"/>
    </row>
    <row r="3" spans="1:22" x14ac:dyDescent="0.25">
      <c r="A3" s="39" t="s">
        <v>0</v>
      </c>
      <c r="B3" s="19">
        <v>8130976879</v>
      </c>
      <c r="C3" s="199"/>
      <c r="D3" s="199"/>
      <c r="E3" s="199"/>
      <c r="F3" s="199"/>
      <c r="G3" s="159"/>
      <c r="H3" s="159"/>
      <c r="K3" s="182"/>
      <c r="L3" s="183"/>
      <c r="M3" s="184"/>
    </row>
    <row r="4" spans="1:22" ht="30" x14ac:dyDescent="0.25">
      <c r="A4" s="40" t="s">
        <v>3</v>
      </c>
      <c r="B4" s="28"/>
      <c r="C4" s="199"/>
      <c r="D4" s="199"/>
      <c r="E4" s="199"/>
      <c r="F4" s="199"/>
      <c r="G4" s="159"/>
      <c r="H4" s="159"/>
      <c r="K4" s="18" t="s">
        <v>5</v>
      </c>
      <c r="L4" s="45" t="s">
        <v>6</v>
      </c>
      <c r="M4" s="45" t="s">
        <v>7</v>
      </c>
    </row>
    <row r="5" spans="1:22" x14ac:dyDescent="0.25">
      <c r="A5" s="41" t="s">
        <v>4</v>
      </c>
      <c r="B5" s="42">
        <f>B3-B4</f>
        <v>8130976879</v>
      </c>
      <c r="C5" s="200"/>
      <c r="D5" s="201"/>
      <c r="E5" s="201"/>
      <c r="F5" s="202"/>
      <c r="G5" s="22"/>
      <c r="H5" s="22"/>
      <c r="K5" s="46" t="s">
        <v>19</v>
      </c>
      <c r="L5" s="47">
        <f>VLOOKUP($K$5,A26:G37,4,0)*(-1)</f>
        <v>0.94223203410980949</v>
      </c>
      <c r="M5" s="47">
        <f>VLOOKUP($K$5,A26:G37,7,0)*(-1)</f>
        <v>0.29303739987673383</v>
      </c>
    </row>
    <row r="6" spans="1:22" ht="15" customHeight="1" x14ac:dyDescent="0.25">
      <c r="A6" s="197"/>
      <c r="B6" s="198"/>
      <c r="C6" s="198"/>
      <c r="D6" s="198"/>
      <c r="E6" s="198"/>
      <c r="F6" s="198"/>
      <c r="G6" s="159"/>
      <c r="H6" s="159"/>
    </row>
    <row r="7" spans="1:22" ht="45" x14ac:dyDescent="0.25">
      <c r="A7" s="43"/>
      <c r="B7" s="44" t="s">
        <v>38</v>
      </c>
      <c r="C7" s="44" t="s">
        <v>39</v>
      </c>
      <c r="D7" s="44"/>
      <c r="E7" s="44" t="s">
        <v>40</v>
      </c>
      <c r="F7" s="44" t="s">
        <v>41</v>
      </c>
      <c r="G7" s="23"/>
      <c r="H7" s="23"/>
    </row>
    <row r="8" spans="1:22" x14ac:dyDescent="0.25">
      <c r="B8" s="101"/>
      <c r="C8" s="125">
        <v>5801178467</v>
      </c>
      <c r="E8" s="125">
        <f>C8-C9</f>
        <v>5801178467</v>
      </c>
      <c r="F8" s="101">
        <v>1646147587.8699999</v>
      </c>
      <c r="G8" s="51">
        <f>F8-F9</f>
        <v>1646147587.8699999</v>
      </c>
      <c r="H8" s="51"/>
      <c r="I8" s="94"/>
      <c r="J8" s="103"/>
    </row>
    <row r="9" spans="1:22" ht="40.5" customHeight="1" x14ac:dyDescent="0.25">
      <c r="A9" s="27" t="s">
        <v>13</v>
      </c>
      <c r="B9" s="28">
        <f>SUBTOTAL(9,B10:B21)</f>
        <v>8130976879</v>
      </c>
      <c r="C9" s="29">
        <f>SUBTOTAL(9,C10:C21)</f>
        <v>0</v>
      </c>
      <c r="D9" s="29"/>
      <c r="E9" s="28">
        <f>SUBTOTAL(9,E10:E21)</f>
        <v>8130976878.9963627</v>
      </c>
      <c r="F9" s="29">
        <f>SUBTOTAL(9,F10:F21)</f>
        <v>0</v>
      </c>
      <c r="G9" s="21">
        <v>1000000</v>
      </c>
      <c r="H9" s="21"/>
      <c r="I9" s="101"/>
      <c r="J9" s="101"/>
    </row>
    <row r="10" spans="1:22" x14ac:dyDescent="0.25">
      <c r="A10" s="30" t="s">
        <v>14</v>
      </c>
      <c r="B10" s="31">
        <f>5367195912-25000000</f>
        <v>5342195912</v>
      </c>
      <c r="C10" s="31">
        <v>0</v>
      </c>
      <c r="D10" s="31"/>
      <c r="E10" s="31">
        <v>0</v>
      </c>
      <c r="F10" s="31">
        <v>0</v>
      </c>
      <c r="G10" s="24">
        <f>E10/$G$9</f>
        <v>0</v>
      </c>
      <c r="H10" s="51">
        <f>G10</f>
        <v>0</v>
      </c>
      <c r="J10" s="10"/>
      <c r="V10" s="51"/>
    </row>
    <row r="11" spans="1:22" x14ac:dyDescent="0.25">
      <c r="A11" s="30" t="s">
        <v>15</v>
      </c>
      <c r="B11" s="31">
        <f>25000000+(881595277-321665383)</f>
        <v>584929894</v>
      </c>
      <c r="C11" s="31">
        <v>0</v>
      </c>
      <c r="D11" s="31"/>
      <c r="E11" s="31">
        <v>191334619</v>
      </c>
      <c r="F11" s="31">
        <v>0</v>
      </c>
      <c r="G11" s="24">
        <f t="shared" ref="G11:G21" si="0">E11/$G$9</f>
        <v>191.334619</v>
      </c>
      <c r="H11" s="24">
        <f>H10+G11</f>
        <v>191.334619</v>
      </c>
      <c r="I11" s="10"/>
      <c r="J11" s="10"/>
    </row>
    <row r="12" spans="1:22" x14ac:dyDescent="0.25">
      <c r="A12" s="30" t="s">
        <v>16</v>
      </c>
      <c r="B12" s="31">
        <v>0</v>
      </c>
      <c r="C12" s="31">
        <v>0</v>
      </c>
      <c r="D12" s="31"/>
      <c r="E12" s="31">
        <v>431768559</v>
      </c>
      <c r="F12" s="31">
        <v>0</v>
      </c>
      <c r="G12" s="24">
        <f t="shared" si="0"/>
        <v>431.76855899999998</v>
      </c>
      <c r="H12" s="24">
        <f t="shared" ref="H12:H14" si="1">H11+G12</f>
        <v>623.10317799999996</v>
      </c>
      <c r="I12" s="10"/>
      <c r="J12" s="10"/>
    </row>
    <row r="13" spans="1:22" x14ac:dyDescent="0.25">
      <c r="A13" s="30" t="s">
        <v>17</v>
      </c>
      <c r="B13" s="31">
        <v>0</v>
      </c>
      <c r="C13" s="31">
        <v>0</v>
      </c>
      <c r="D13" s="31"/>
      <c r="E13" s="31">
        <v>439894286.36000001</v>
      </c>
      <c r="F13" s="31">
        <v>0</v>
      </c>
      <c r="G13" s="24">
        <f t="shared" si="0"/>
        <v>439.89428636000002</v>
      </c>
      <c r="H13" s="24">
        <f t="shared" si="1"/>
        <v>1062.9974643599999</v>
      </c>
      <c r="I13" s="10"/>
      <c r="J13" s="10"/>
    </row>
    <row r="14" spans="1:22" x14ac:dyDescent="0.25">
      <c r="A14" s="30" t="s">
        <v>12</v>
      </c>
      <c r="B14" s="31">
        <v>0</v>
      </c>
      <c r="C14" s="31">
        <v>0</v>
      </c>
      <c r="D14" s="31"/>
      <c r="E14" s="31">
        <v>439894286.36000001</v>
      </c>
      <c r="F14" s="31">
        <v>0</v>
      </c>
      <c r="G14" s="24">
        <f t="shared" si="0"/>
        <v>439.89428636000002</v>
      </c>
      <c r="H14" s="24">
        <f t="shared" si="1"/>
        <v>1502.8917507199999</v>
      </c>
      <c r="I14" s="10"/>
      <c r="J14" s="10"/>
    </row>
    <row r="15" spans="1:22" x14ac:dyDescent="0.25">
      <c r="A15" s="105" t="s">
        <v>18</v>
      </c>
      <c r="B15" s="31">
        <v>1342177760</v>
      </c>
      <c r="C15" s="31">
        <v>0</v>
      </c>
      <c r="D15" s="31"/>
      <c r="E15" s="31">
        <v>439894286</v>
      </c>
      <c r="F15" s="31">
        <v>0</v>
      </c>
      <c r="G15" s="24">
        <f t="shared" si="0"/>
        <v>439.89428600000002</v>
      </c>
      <c r="H15" s="24"/>
      <c r="I15" s="10"/>
      <c r="J15" s="10"/>
    </row>
    <row r="16" spans="1:22" x14ac:dyDescent="0.25">
      <c r="A16" s="30" t="s">
        <v>19</v>
      </c>
      <c r="B16" s="31">
        <f>70297935+321665383</f>
        <v>391963318</v>
      </c>
      <c r="C16" s="31">
        <v>0</v>
      </c>
      <c r="D16" s="31"/>
      <c r="E16" s="31">
        <v>439894286.36000001</v>
      </c>
      <c r="F16" s="31">
        <v>0</v>
      </c>
      <c r="G16" s="24">
        <f t="shared" si="0"/>
        <v>439.89428636000002</v>
      </c>
      <c r="H16" s="24"/>
      <c r="I16" s="10"/>
      <c r="J16" s="10"/>
    </row>
    <row r="17" spans="1:10" x14ac:dyDescent="0.25">
      <c r="A17" s="30" t="s">
        <v>20</v>
      </c>
      <c r="B17" s="31">
        <v>0</v>
      </c>
      <c r="C17" s="31">
        <v>0</v>
      </c>
      <c r="D17" s="31"/>
      <c r="E17" s="31">
        <v>1031857604.36</v>
      </c>
      <c r="F17" s="31">
        <v>0</v>
      </c>
      <c r="G17" s="24">
        <f t="shared" si="0"/>
        <v>1031.8576043600001</v>
      </c>
      <c r="H17" s="24"/>
      <c r="I17" s="10"/>
      <c r="J17" s="10"/>
    </row>
    <row r="18" spans="1:10" x14ac:dyDescent="0.25">
      <c r="A18" s="30" t="s">
        <v>21</v>
      </c>
      <c r="B18" s="31">
        <v>0</v>
      </c>
      <c r="C18" s="31">
        <v>0</v>
      </c>
      <c r="D18" s="31"/>
      <c r="E18" s="31">
        <v>439894286.36000001</v>
      </c>
      <c r="F18" s="31">
        <v>0</v>
      </c>
      <c r="G18" s="24">
        <f t="shared" si="0"/>
        <v>439.89428636000002</v>
      </c>
      <c r="H18" s="24"/>
      <c r="I18" s="10"/>
      <c r="J18" s="10"/>
    </row>
    <row r="19" spans="1:10" x14ac:dyDescent="0.25">
      <c r="A19" s="30" t="s">
        <v>22</v>
      </c>
      <c r="B19" s="31">
        <v>469709995</v>
      </c>
      <c r="C19" s="31">
        <v>0</v>
      </c>
      <c r="D19" s="31"/>
      <c r="E19" s="31">
        <v>1308766886.4181819</v>
      </c>
      <c r="F19" s="31">
        <v>0</v>
      </c>
      <c r="G19" s="24">
        <f t="shared" si="0"/>
        <v>1308.7668864181819</v>
      </c>
      <c r="H19" s="24"/>
      <c r="I19" s="10"/>
      <c r="J19" s="10"/>
    </row>
    <row r="20" spans="1:10" x14ac:dyDescent="0.25">
      <c r="A20" s="30" t="s">
        <v>23</v>
      </c>
      <c r="B20" s="31">
        <v>0</v>
      </c>
      <c r="C20" s="31">
        <v>0</v>
      </c>
      <c r="D20" s="31"/>
      <c r="E20" s="31">
        <v>439894286.36000001</v>
      </c>
      <c r="F20" s="31">
        <v>0</v>
      </c>
      <c r="G20" s="24">
        <f t="shared" si="0"/>
        <v>439.89428636000002</v>
      </c>
      <c r="H20" s="24"/>
      <c r="I20" s="101"/>
      <c r="J20" s="101"/>
    </row>
    <row r="21" spans="1:10" x14ac:dyDescent="0.25">
      <c r="A21" s="30" t="s">
        <v>24</v>
      </c>
      <c r="B21" s="31">
        <v>0</v>
      </c>
      <c r="C21" s="134">
        <v>0</v>
      </c>
      <c r="D21" s="134"/>
      <c r="E21" s="134">
        <v>2527883492.4181819</v>
      </c>
      <c r="F21" s="134">
        <v>0</v>
      </c>
      <c r="G21" s="24">
        <f t="shared" si="0"/>
        <v>2527.883492418182</v>
      </c>
      <c r="H21" s="24"/>
      <c r="I21" s="10"/>
      <c r="J21" s="10"/>
    </row>
    <row r="22" spans="1:10" x14ac:dyDescent="0.25">
      <c r="A22" s="49"/>
      <c r="B22" s="101"/>
      <c r="C22" s="101">
        <v>5939270535</v>
      </c>
      <c r="D22" s="24"/>
      <c r="E22" s="135"/>
      <c r="F22" s="101">
        <v>2698136125.5100002</v>
      </c>
      <c r="G22" s="24"/>
      <c r="H22" s="24"/>
      <c r="I22" s="135"/>
      <c r="J22" s="135"/>
    </row>
    <row r="23" spans="1:10" x14ac:dyDescent="0.25">
      <c r="A23" s="49"/>
      <c r="B23" s="50"/>
      <c r="C23" s="101">
        <f>C22-C9</f>
        <v>5939270535</v>
      </c>
      <c r="D23" s="50"/>
      <c r="E23" s="50"/>
      <c r="F23" s="31">
        <f>F22-F9</f>
        <v>2698136125.5100002</v>
      </c>
      <c r="G23" s="24"/>
      <c r="H23" s="24"/>
      <c r="I23" s="10"/>
      <c r="J23" s="10"/>
    </row>
    <row r="24" spans="1:10" ht="30" x14ac:dyDescent="0.25">
      <c r="A24" s="33" t="s">
        <v>25</v>
      </c>
      <c r="B24" s="35">
        <f>SUM(B10:B21)/B5</f>
        <v>1</v>
      </c>
      <c r="C24" s="34">
        <f>SUM(C10:C21)/B5</f>
        <v>0</v>
      </c>
      <c r="D24" s="34">
        <f>C24-B24</f>
        <v>-1</v>
      </c>
      <c r="E24" s="35">
        <f>SUM(E10:E21)/B5</f>
        <v>0.99999999999955269</v>
      </c>
      <c r="F24" s="34">
        <f>SUM(F10:F21)/B5</f>
        <v>0</v>
      </c>
      <c r="G24" s="32">
        <f>F24-E24</f>
        <v>-0.99999999999955269</v>
      </c>
      <c r="H24" s="25"/>
      <c r="I24" s="10"/>
      <c r="J24" s="10"/>
    </row>
    <row r="25" spans="1:10" ht="45" x14ac:dyDescent="0.25">
      <c r="A25" s="33"/>
      <c r="B25" s="48" t="s">
        <v>38</v>
      </c>
      <c r="C25" s="44" t="s">
        <v>39</v>
      </c>
      <c r="D25" s="44"/>
      <c r="E25" s="48" t="s">
        <v>40</v>
      </c>
      <c r="F25" s="44" t="s">
        <v>41</v>
      </c>
      <c r="G25" s="25"/>
      <c r="H25" s="25"/>
      <c r="I25" s="10"/>
      <c r="J25" s="10"/>
    </row>
    <row r="26" spans="1:10" x14ac:dyDescent="0.25">
      <c r="A26" s="36" t="s">
        <v>14</v>
      </c>
      <c r="B26" s="37">
        <f>(B10/$B$5)</f>
        <v>0.65701772265487213</v>
      </c>
      <c r="C26" s="37">
        <f>(C10/$B$5)</f>
        <v>0</v>
      </c>
      <c r="D26" s="37">
        <f>C26-B26</f>
        <v>-0.65701772265487213</v>
      </c>
      <c r="E26" s="37">
        <f>(E10/$B$5)</f>
        <v>0</v>
      </c>
      <c r="F26" s="37">
        <f>(F10/$B$5)</f>
        <v>0</v>
      </c>
      <c r="G26" s="26">
        <f>F26-E26</f>
        <v>0</v>
      </c>
      <c r="H26" s="26"/>
    </row>
    <row r="27" spans="1:10" x14ac:dyDescent="0.25">
      <c r="A27" s="36" t="s">
        <v>15</v>
      </c>
      <c r="B27" s="37">
        <f t="shared" ref="B27:C37" si="2">(B11/$B$5)+B26</f>
        <v>0.72895617515628164</v>
      </c>
      <c r="C27" s="37">
        <f t="shared" si="2"/>
        <v>0</v>
      </c>
      <c r="D27" s="37">
        <f t="shared" ref="D27:D37" si="3">C27-B27</f>
        <v>-0.72895617515628164</v>
      </c>
      <c r="E27" s="37">
        <f t="shared" ref="E27:F37" si="4">(E11/$B$5)+E26</f>
        <v>2.3531565991063496E-2</v>
      </c>
      <c r="F27" s="37">
        <f t="shared" si="4"/>
        <v>0</v>
      </c>
      <c r="G27" s="26">
        <f t="shared" ref="G27:G37" si="5">F27-E27</f>
        <v>-2.3531565991063496E-2</v>
      </c>
      <c r="H27" s="26"/>
    </row>
    <row r="28" spans="1:10" x14ac:dyDescent="0.25">
      <c r="A28" s="36" t="s">
        <v>16</v>
      </c>
      <c r="B28" s="37">
        <f t="shared" si="2"/>
        <v>0.72895617515628164</v>
      </c>
      <c r="C28" s="37">
        <f t="shared" si="2"/>
        <v>0</v>
      </c>
      <c r="D28" s="37">
        <f t="shared" si="3"/>
        <v>-0.72895617515628164</v>
      </c>
      <c r="E28" s="37">
        <f t="shared" si="4"/>
        <v>7.6633249272827011E-2</v>
      </c>
      <c r="F28" s="37">
        <f t="shared" si="4"/>
        <v>0</v>
      </c>
      <c r="G28" s="26">
        <f t="shared" si="5"/>
        <v>-7.6633249272827011E-2</v>
      </c>
      <c r="H28" s="26"/>
    </row>
    <row r="29" spans="1:10" x14ac:dyDescent="0.25">
      <c r="A29" s="36" t="s">
        <v>17</v>
      </c>
      <c r="B29" s="37">
        <f t="shared" si="2"/>
        <v>0.72895617515628164</v>
      </c>
      <c r="C29" s="37">
        <f t="shared" si="2"/>
        <v>0</v>
      </c>
      <c r="D29" s="37">
        <f t="shared" si="3"/>
        <v>-0.72895617515628164</v>
      </c>
      <c r="E29" s="37">
        <f t="shared" si="4"/>
        <v>0.13073428693487249</v>
      </c>
      <c r="F29" s="37">
        <f t="shared" si="4"/>
        <v>0</v>
      </c>
      <c r="G29" s="26">
        <f t="shared" si="5"/>
        <v>-0.13073428693487249</v>
      </c>
      <c r="H29" s="26"/>
    </row>
    <row r="30" spans="1:10" x14ac:dyDescent="0.25">
      <c r="A30" s="36" t="s">
        <v>12</v>
      </c>
      <c r="B30" s="37">
        <f t="shared" si="2"/>
        <v>0.72895617515628164</v>
      </c>
      <c r="C30" s="37">
        <f t="shared" si="2"/>
        <v>0</v>
      </c>
      <c r="D30" s="37">
        <f t="shared" si="3"/>
        <v>-0.72895617515628164</v>
      </c>
      <c r="E30" s="37">
        <f t="shared" si="4"/>
        <v>0.18483532459691798</v>
      </c>
      <c r="F30" s="37">
        <f t="shared" si="4"/>
        <v>0</v>
      </c>
      <c r="G30" s="26">
        <f t="shared" si="5"/>
        <v>-0.18483532459691798</v>
      </c>
      <c r="H30" s="26"/>
    </row>
    <row r="31" spans="1:10" s="119" customFormat="1" x14ac:dyDescent="0.25">
      <c r="A31" s="152" t="s">
        <v>18</v>
      </c>
      <c r="B31" s="153">
        <f t="shared" si="2"/>
        <v>0.89402585620118336</v>
      </c>
      <c r="C31" s="153">
        <f t="shared" si="2"/>
        <v>0</v>
      </c>
      <c r="D31" s="38">
        <f t="shared" si="3"/>
        <v>-0.89402585620118336</v>
      </c>
      <c r="E31" s="153">
        <f t="shared" si="4"/>
        <v>0.23893636221468834</v>
      </c>
      <c r="F31" s="37">
        <f t="shared" ref="F31" si="6">(F15/$B$5)+F30</f>
        <v>0</v>
      </c>
      <c r="G31" s="157">
        <f t="shared" si="5"/>
        <v>-0.23893636221468834</v>
      </c>
      <c r="H31" s="157"/>
    </row>
    <row r="32" spans="1:10" x14ac:dyDescent="0.25">
      <c r="A32" s="114" t="s">
        <v>19</v>
      </c>
      <c r="B32" s="115">
        <f t="shared" si="2"/>
        <v>0.94223203410980949</v>
      </c>
      <c r="C32" s="115">
        <f t="shared" si="2"/>
        <v>0</v>
      </c>
      <c r="D32" s="37">
        <f t="shared" si="3"/>
        <v>-0.94223203410980949</v>
      </c>
      <c r="E32" s="115">
        <f t="shared" si="4"/>
        <v>0.29303739987673383</v>
      </c>
      <c r="F32" s="37">
        <f>(F16/$B$5)+F31</f>
        <v>0</v>
      </c>
      <c r="G32" s="26">
        <f t="shared" si="5"/>
        <v>-0.29303739987673383</v>
      </c>
      <c r="H32" s="26"/>
    </row>
    <row r="33" spans="1:8" x14ac:dyDescent="0.25">
      <c r="A33" s="36" t="s">
        <v>20</v>
      </c>
      <c r="B33" s="37">
        <f t="shared" si="2"/>
        <v>0.94223203410980949</v>
      </c>
      <c r="C33" s="37">
        <f t="shared" si="2"/>
        <v>0</v>
      </c>
      <c r="D33" s="37">
        <f t="shared" si="3"/>
        <v>-0.94223203410980949</v>
      </c>
      <c r="E33" s="37">
        <f t="shared" si="4"/>
        <v>0.41994190590539993</v>
      </c>
      <c r="F33" s="37">
        <f t="shared" ref="F33" si="7">(F17/$B$5)+F32</f>
        <v>0</v>
      </c>
      <c r="G33" s="26">
        <f t="shared" si="5"/>
        <v>-0.41994190590539993</v>
      </c>
      <c r="H33" s="26"/>
    </row>
    <row r="34" spans="1:8" x14ac:dyDescent="0.25">
      <c r="A34" s="114" t="s">
        <v>21</v>
      </c>
      <c r="B34" s="115">
        <f t="shared" si="2"/>
        <v>0.94223203410980949</v>
      </c>
      <c r="C34" s="115">
        <f t="shared" si="2"/>
        <v>0</v>
      </c>
      <c r="D34" s="37">
        <f t="shared" si="3"/>
        <v>-0.94223203410980949</v>
      </c>
      <c r="E34" s="115">
        <f t="shared" si="4"/>
        <v>0.47404294356744542</v>
      </c>
      <c r="F34" s="37">
        <f t="shared" ref="F34" si="8">(F18/$B$5)+F33</f>
        <v>0</v>
      </c>
      <c r="G34" s="26">
        <f t="shared" si="5"/>
        <v>-0.47404294356744542</v>
      </c>
      <c r="H34" s="26"/>
    </row>
    <row r="35" spans="1:8" x14ac:dyDescent="0.25">
      <c r="A35" s="36" t="s">
        <v>22</v>
      </c>
      <c r="B35" s="37">
        <f t="shared" si="2"/>
        <v>1</v>
      </c>
      <c r="C35" s="37">
        <f t="shared" si="2"/>
        <v>0</v>
      </c>
      <c r="D35" s="37">
        <f t="shared" si="3"/>
        <v>-1</v>
      </c>
      <c r="E35" s="37">
        <f t="shared" si="4"/>
        <v>0.63500353980261048</v>
      </c>
      <c r="F35" s="37">
        <f t="shared" ref="F35" si="9">(F19/$B$5)+F34</f>
        <v>0</v>
      </c>
      <c r="G35" s="26">
        <f t="shared" si="5"/>
        <v>-0.63500353980261048</v>
      </c>
      <c r="H35" s="26"/>
    </row>
    <row r="36" spans="1:8" x14ac:dyDescent="0.25">
      <c r="A36" s="36" t="s">
        <v>23</v>
      </c>
      <c r="B36" s="37">
        <f t="shared" si="2"/>
        <v>1</v>
      </c>
      <c r="C36" s="37">
        <f t="shared" si="2"/>
        <v>0</v>
      </c>
      <c r="D36" s="37">
        <f t="shared" si="3"/>
        <v>-1</v>
      </c>
      <c r="E36" s="37">
        <f t="shared" si="4"/>
        <v>0.68910457746465592</v>
      </c>
      <c r="F36" s="37">
        <f t="shared" ref="F36" si="10">(F20/$B$5)+F35</f>
        <v>0</v>
      </c>
      <c r="G36" s="26">
        <f t="shared" si="5"/>
        <v>-0.68910457746465592</v>
      </c>
      <c r="H36" s="26"/>
    </row>
    <row r="37" spans="1:8" x14ac:dyDescent="0.25">
      <c r="A37" s="36" t="s">
        <v>24</v>
      </c>
      <c r="B37" s="37">
        <f t="shared" si="2"/>
        <v>1</v>
      </c>
      <c r="C37" s="37">
        <f t="shared" si="2"/>
        <v>0</v>
      </c>
      <c r="D37" s="37">
        <f t="shared" si="3"/>
        <v>-1</v>
      </c>
      <c r="E37" s="37">
        <f t="shared" si="4"/>
        <v>0.9999999999995528</v>
      </c>
      <c r="F37" s="37">
        <f t="shared" ref="F37" si="11">(F21/$B$5)+F36</f>
        <v>0</v>
      </c>
      <c r="G37" s="26">
        <f t="shared" si="5"/>
        <v>-0.9999999999995528</v>
      </c>
      <c r="H37" s="26"/>
    </row>
  </sheetData>
  <autoFilter ref="A9:C21" xr:uid="{41643C1C-5679-4300-83D4-B64EA9DB2EA7}"/>
  <mergeCells count="4">
    <mergeCell ref="C2:F4"/>
    <mergeCell ref="K2:M3"/>
    <mergeCell ref="A6:F6"/>
    <mergeCell ref="C5:F5"/>
  </mergeCells>
  <conditionalFormatting sqref="L5">
    <cfRule type="cellIs" dxfId="29" priority="4" operator="lessThan">
      <formula>0.0298</formula>
    </cfRule>
    <cfRule type="cellIs" dxfId="28" priority="5" operator="between">
      <formula>0.0299</formula>
      <formula>0.0599</formula>
    </cfRule>
    <cfRule type="cellIs" dxfId="27" priority="6" operator="greaterThan">
      <formula>0.06</formula>
    </cfRule>
  </conditionalFormatting>
  <conditionalFormatting sqref="M5">
    <cfRule type="cellIs" dxfId="26" priority="1" operator="lessThan">
      <formula>0.0298</formula>
    </cfRule>
    <cfRule type="cellIs" dxfId="25" priority="2" operator="between">
      <formula>0.0299</formula>
      <formula>0.0599</formula>
    </cfRule>
    <cfRule type="cellIs" dxfId="24" priority="3" operator="greaterThan">
      <formula>0.06</formula>
    </cfRule>
  </conditionalFormatting>
  <dataValidations count="1">
    <dataValidation type="list" allowBlank="1" showInputMessage="1" showErrorMessage="1" sqref="K5" xr:uid="{2CA9B0FC-0466-455C-A9FC-E4D4033640DD}">
      <formula1>$A$10:$A$21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58AB-7B05-4B10-A7CB-037139F5BFF3}">
  <sheetPr>
    <tabColor theme="9"/>
  </sheetPr>
  <dimension ref="A2:O40"/>
  <sheetViews>
    <sheetView zoomScale="74" workbookViewId="0">
      <selection activeCell="J34" sqref="J34"/>
    </sheetView>
  </sheetViews>
  <sheetFormatPr baseColWidth="10" defaultColWidth="11.42578125" defaultRowHeight="15" x14ac:dyDescent="0.25"/>
  <cols>
    <col min="1" max="1" width="22.42578125" style="2" customWidth="1"/>
    <col min="2" max="2" width="28" style="2" customWidth="1"/>
    <col min="3" max="3" width="26.140625" style="2" customWidth="1"/>
    <col min="4" max="4" width="26.140625" style="2" hidden="1" customWidth="1"/>
    <col min="5" max="6" width="20.5703125" style="2" customWidth="1"/>
    <col min="7" max="7" width="23.140625" style="2" customWidth="1"/>
    <col min="8" max="8" width="17.42578125" style="94" bestFit="1" customWidth="1"/>
    <col min="9" max="9" width="17.28515625" style="94" bestFit="1" customWidth="1"/>
    <col min="10" max="10" width="14.85546875" style="2" customWidth="1"/>
    <col min="11" max="11" width="14.7109375" style="2" customWidth="1"/>
    <col min="12" max="13" width="11.42578125" style="2"/>
    <col min="14" max="14" width="15.5703125" style="2" bestFit="1" customWidth="1"/>
    <col min="15" max="15" width="14" style="2" bestFit="1" customWidth="1"/>
    <col min="16" max="16384" width="11.42578125" style="2"/>
  </cols>
  <sheetData>
    <row r="2" spans="1:15" ht="60" customHeight="1" x14ac:dyDescent="0.25">
      <c r="A2" s="158" t="s">
        <v>48</v>
      </c>
      <c r="B2" s="160">
        <v>2019011000170</v>
      </c>
      <c r="C2" s="199" t="s">
        <v>50</v>
      </c>
      <c r="D2" s="199"/>
      <c r="E2" s="199"/>
      <c r="F2" s="199"/>
      <c r="G2" s="159"/>
      <c r="I2" s="179" t="s">
        <v>2</v>
      </c>
      <c r="J2" s="180"/>
      <c r="K2" s="181"/>
    </row>
    <row r="3" spans="1:15" x14ac:dyDescent="0.25">
      <c r="A3" s="39" t="s">
        <v>0</v>
      </c>
      <c r="B3" s="19">
        <v>7645858774</v>
      </c>
      <c r="C3" s="199"/>
      <c r="D3" s="199"/>
      <c r="E3" s="199"/>
      <c r="F3" s="199"/>
      <c r="G3" s="159"/>
      <c r="I3" s="182"/>
      <c r="J3" s="183"/>
      <c r="K3" s="184"/>
    </row>
    <row r="4" spans="1:15" ht="30" x14ac:dyDescent="0.25">
      <c r="A4" s="40" t="s">
        <v>3</v>
      </c>
      <c r="B4" s="20">
        <v>0</v>
      </c>
      <c r="C4" s="199"/>
      <c r="D4" s="199"/>
      <c r="E4" s="199"/>
      <c r="F4" s="199"/>
      <c r="G4" s="159"/>
      <c r="I4" s="95" t="s">
        <v>5</v>
      </c>
      <c r="J4" s="45" t="s">
        <v>6</v>
      </c>
      <c r="K4" s="45" t="s">
        <v>7</v>
      </c>
    </row>
    <row r="5" spans="1:15" x14ac:dyDescent="0.25">
      <c r="A5" s="41" t="s">
        <v>4</v>
      </c>
      <c r="B5" s="42">
        <f>B3-B4</f>
        <v>7645858774</v>
      </c>
      <c r="C5" s="200"/>
      <c r="D5" s="201"/>
      <c r="E5" s="201"/>
      <c r="F5" s="202"/>
      <c r="G5" s="22"/>
      <c r="I5" s="96" t="s">
        <v>14</v>
      </c>
      <c r="J5" s="47">
        <f>VLOOKUP($I$5,A26:G37,4,0)*(-1)</f>
        <v>0.70814736304204717</v>
      </c>
      <c r="K5" s="47">
        <f>VLOOKUP($I$5,A26:G37,7,0)*(-1)</f>
        <v>3.6832213139698257E-4</v>
      </c>
      <c r="N5" s="51"/>
      <c r="O5" s="51"/>
    </row>
    <row r="6" spans="1:15" ht="15" customHeight="1" x14ac:dyDescent="0.25">
      <c r="A6" s="197"/>
      <c r="B6" s="198"/>
      <c r="C6" s="198"/>
      <c r="D6" s="198"/>
      <c r="E6" s="198"/>
      <c r="F6" s="198"/>
      <c r="G6" s="159"/>
    </row>
    <row r="7" spans="1:15" ht="45" x14ac:dyDescent="0.25">
      <c r="A7" s="43"/>
      <c r="B7" s="44" t="s">
        <v>38</v>
      </c>
      <c r="C7" s="44" t="s">
        <v>39</v>
      </c>
      <c r="D7" s="44"/>
      <c r="E7" s="44" t="s">
        <v>40</v>
      </c>
      <c r="F7" s="44" t="s">
        <v>41</v>
      </c>
      <c r="G7" s="23"/>
      <c r="H7" s="103"/>
      <c r="I7" s="103"/>
    </row>
    <row r="8" spans="1:15" x14ac:dyDescent="0.25">
      <c r="B8" s="109"/>
      <c r="C8" s="101">
        <v>6542899800</v>
      </c>
      <c r="D8" s="2">
        <v>6542899800</v>
      </c>
      <c r="E8" s="51">
        <f>C8-C9</f>
        <v>6542899800</v>
      </c>
      <c r="F8" s="101">
        <v>1906720736.22</v>
      </c>
      <c r="G8" s="51">
        <f>F8-F9</f>
        <v>1906720736.22</v>
      </c>
    </row>
    <row r="9" spans="1:15" ht="40.5" customHeight="1" x14ac:dyDescent="0.25">
      <c r="A9" s="27" t="s">
        <v>13</v>
      </c>
      <c r="B9" s="28">
        <f>SUBTOTAL(9,B10:B21)</f>
        <v>7645858774</v>
      </c>
      <c r="C9" s="29">
        <f>SUBTOTAL(9,C10:C21)</f>
        <v>0</v>
      </c>
      <c r="D9" s="29"/>
      <c r="E9" s="28">
        <f>SUBTOTAL(9,E10:E21)</f>
        <v>7645858773.9999981</v>
      </c>
      <c r="F9" s="29">
        <f>SUBTOTAL(9,F10:F21)</f>
        <v>0</v>
      </c>
      <c r="G9" s="21"/>
      <c r="H9" s="102"/>
      <c r="I9" s="102"/>
    </row>
    <row r="10" spans="1:15" x14ac:dyDescent="0.25">
      <c r="A10" s="30" t="s">
        <v>14</v>
      </c>
      <c r="B10" s="31">
        <v>5414394729</v>
      </c>
      <c r="C10" s="106">
        <v>0</v>
      </c>
      <c r="D10" s="106"/>
      <c r="E10" s="31">
        <v>2816139</v>
      </c>
      <c r="F10" s="106">
        <v>0</v>
      </c>
      <c r="G10" s="24"/>
    </row>
    <row r="11" spans="1:15" x14ac:dyDescent="0.25">
      <c r="A11" s="30" t="s">
        <v>15</v>
      </c>
      <c r="B11" s="31">
        <v>964978267</v>
      </c>
      <c r="C11" s="106">
        <v>0</v>
      </c>
      <c r="D11" s="106"/>
      <c r="E11" s="31">
        <v>191201632</v>
      </c>
      <c r="F11" s="106">
        <v>0</v>
      </c>
      <c r="G11" s="24"/>
      <c r="J11" s="94"/>
    </row>
    <row r="12" spans="1:15" x14ac:dyDescent="0.25">
      <c r="A12" s="30" t="s">
        <v>16</v>
      </c>
      <c r="B12" s="31">
        <v>183684616</v>
      </c>
      <c r="C12" s="106">
        <v>0</v>
      </c>
      <c r="D12" s="106"/>
      <c r="E12" s="31">
        <v>529489900.65333307</v>
      </c>
      <c r="F12" s="106">
        <v>0</v>
      </c>
      <c r="G12" s="24"/>
      <c r="J12" s="94"/>
    </row>
    <row r="13" spans="1:15" x14ac:dyDescent="0.25">
      <c r="A13" s="30" t="s">
        <v>17</v>
      </c>
      <c r="B13" s="31">
        <v>822802594</v>
      </c>
      <c r="C13" s="106">
        <v>0</v>
      </c>
      <c r="D13" s="106"/>
      <c r="E13" s="31">
        <v>1004966857.2666664</v>
      </c>
      <c r="F13" s="106">
        <v>0</v>
      </c>
      <c r="G13" s="24"/>
      <c r="J13" s="94"/>
    </row>
    <row r="14" spans="1:15" x14ac:dyDescent="0.25">
      <c r="A14" s="30" t="s">
        <v>12</v>
      </c>
      <c r="B14" s="31">
        <v>20000000</v>
      </c>
      <c r="C14" s="106">
        <v>0</v>
      </c>
      <c r="D14" s="106"/>
      <c r="E14" s="31">
        <v>609101149.59999979</v>
      </c>
      <c r="F14" s="106">
        <v>0</v>
      </c>
      <c r="G14" s="24"/>
      <c r="J14" s="94"/>
    </row>
    <row r="15" spans="1:15" x14ac:dyDescent="0.25">
      <c r="A15" s="30" t="s">
        <v>18</v>
      </c>
      <c r="B15" s="31">
        <v>33000000</v>
      </c>
      <c r="C15" s="106">
        <v>0</v>
      </c>
      <c r="D15" s="106"/>
      <c r="E15" s="31">
        <v>624101149.59999979</v>
      </c>
      <c r="F15" s="106">
        <v>0</v>
      </c>
      <c r="G15" s="24"/>
    </row>
    <row r="16" spans="1:15" x14ac:dyDescent="0.25">
      <c r="A16" s="30" t="s">
        <v>19</v>
      </c>
      <c r="B16" s="31">
        <v>84272034</v>
      </c>
      <c r="C16" s="106">
        <v>0</v>
      </c>
      <c r="D16" s="106"/>
      <c r="E16" s="31">
        <v>636581949.59999979</v>
      </c>
      <c r="F16" s="106">
        <v>0</v>
      </c>
      <c r="G16" s="24"/>
    </row>
    <row r="17" spans="1:9" x14ac:dyDescent="0.25">
      <c r="A17" s="30" t="s">
        <v>20</v>
      </c>
      <c r="B17" s="31">
        <v>30000000</v>
      </c>
      <c r="C17" s="106">
        <v>0</v>
      </c>
      <c r="D17" s="106"/>
      <c r="E17" s="31">
        <v>631505149.59999979</v>
      </c>
      <c r="F17" s="106">
        <v>0</v>
      </c>
      <c r="G17" s="24"/>
    </row>
    <row r="18" spans="1:9" x14ac:dyDescent="0.25">
      <c r="A18" s="30" t="s">
        <v>21</v>
      </c>
      <c r="B18" s="31">
        <v>30000000</v>
      </c>
      <c r="C18" s="106">
        <v>0</v>
      </c>
      <c r="D18" s="106"/>
      <c r="E18" s="31">
        <v>631505149.59999979</v>
      </c>
      <c r="F18" s="106">
        <v>0</v>
      </c>
      <c r="G18" s="24"/>
    </row>
    <row r="19" spans="1:9" x14ac:dyDescent="0.25">
      <c r="A19" s="30" t="s">
        <v>22</v>
      </c>
      <c r="B19" s="31">
        <v>20000000</v>
      </c>
      <c r="C19" s="106">
        <v>0</v>
      </c>
      <c r="D19" s="106"/>
      <c r="E19" s="31">
        <v>641505149.59999979</v>
      </c>
      <c r="F19" s="106">
        <v>0</v>
      </c>
      <c r="G19" s="24"/>
    </row>
    <row r="20" spans="1:9" x14ac:dyDescent="0.25">
      <c r="A20" s="30" t="s">
        <v>23</v>
      </c>
      <c r="B20" s="31">
        <v>20000000</v>
      </c>
      <c r="C20" s="106">
        <v>0</v>
      </c>
      <c r="D20" s="106"/>
      <c r="E20" s="31">
        <v>1035406446.5999998</v>
      </c>
      <c r="F20" s="106">
        <v>0</v>
      </c>
      <c r="G20" s="24"/>
    </row>
    <row r="21" spans="1:9" x14ac:dyDescent="0.25">
      <c r="A21" s="30" t="s">
        <v>24</v>
      </c>
      <c r="B21" s="31">
        <v>22726534</v>
      </c>
      <c r="C21" s="106">
        <v>0</v>
      </c>
      <c r="D21" s="106"/>
      <c r="E21" s="31">
        <v>1107678100.8799996</v>
      </c>
      <c r="F21" s="106">
        <v>0</v>
      </c>
      <c r="G21" s="24"/>
    </row>
    <row r="22" spans="1:9" x14ac:dyDescent="0.25">
      <c r="A22" s="49"/>
      <c r="B22" s="101"/>
      <c r="C22" s="101">
        <v>7339431033</v>
      </c>
      <c r="D22" s="50"/>
      <c r="E22" s="101"/>
      <c r="F22" s="101">
        <v>3265416209.5500002</v>
      </c>
      <c r="G22" s="24"/>
      <c r="H22" s="101"/>
      <c r="I22" s="101"/>
    </row>
    <row r="23" spans="1:9" x14ac:dyDescent="0.25">
      <c r="A23" s="49"/>
      <c r="B23" s="108"/>
      <c r="C23" s="127">
        <f>C22-C9</f>
        <v>7339431033</v>
      </c>
      <c r="D23" s="129"/>
      <c r="E23" s="50"/>
      <c r="F23" s="107">
        <f>F22-F9</f>
        <v>3265416209.5500002</v>
      </c>
      <c r="G23" s="24"/>
      <c r="H23" s="104"/>
      <c r="I23" s="104"/>
    </row>
    <row r="24" spans="1:9" ht="30" x14ac:dyDescent="0.25">
      <c r="A24" s="33" t="s">
        <v>25</v>
      </c>
      <c r="B24" s="35">
        <f>SUM(B10:B21)/B5</f>
        <v>1</v>
      </c>
      <c r="C24" s="138">
        <f>SUM(C10:C21)/B5</f>
        <v>0</v>
      </c>
      <c r="D24" s="128">
        <f>C24-B24</f>
        <v>-1</v>
      </c>
      <c r="E24" s="35">
        <f>SUM(E10:E21)/B5</f>
        <v>0.99999999999999978</v>
      </c>
      <c r="F24" s="34">
        <f>SUM(F10:F21)/B5</f>
        <v>0</v>
      </c>
      <c r="G24" s="32">
        <f>F24-E24</f>
        <v>-0.99999999999999978</v>
      </c>
      <c r="H24" s="104"/>
      <c r="I24" s="104"/>
    </row>
    <row r="25" spans="1:9" ht="45" x14ac:dyDescent="0.25">
      <c r="A25" s="33"/>
      <c r="B25" s="48" t="s">
        <v>38</v>
      </c>
      <c r="C25" s="44" t="s">
        <v>39</v>
      </c>
      <c r="D25" s="44"/>
      <c r="E25" s="48" t="s">
        <v>40</v>
      </c>
      <c r="F25" s="44" t="s">
        <v>41</v>
      </c>
      <c r="G25" s="25"/>
      <c r="H25" s="104"/>
      <c r="I25" s="104"/>
    </row>
    <row r="26" spans="1:9" x14ac:dyDescent="0.25">
      <c r="A26" s="36" t="s">
        <v>14</v>
      </c>
      <c r="B26" s="37">
        <f>(B10/$B$5)</f>
        <v>0.70814736304204717</v>
      </c>
      <c r="C26" s="37">
        <f>(C10/$B$5)</f>
        <v>0</v>
      </c>
      <c r="D26" s="37">
        <f>C26-B26</f>
        <v>-0.70814736304204717</v>
      </c>
      <c r="E26" s="37">
        <f>(E10/$B$5)</f>
        <v>3.6832213139698257E-4</v>
      </c>
      <c r="F26" s="37">
        <f>(F10/$B$5)</f>
        <v>0</v>
      </c>
      <c r="G26" s="26">
        <f>F26-E26</f>
        <v>-3.6832213139698257E-4</v>
      </c>
    </row>
    <row r="27" spans="1:9" x14ac:dyDescent="0.25">
      <c r="A27" s="36" t="s">
        <v>15</v>
      </c>
      <c r="B27" s="37">
        <f t="shared" ref="B27:C37" si="0">(B11/$B$5)+B26</f>
        <v>0.83435663469135379</v>
      </c>
      <c r="C27" s="37">
        <f t="shared" si="0"/>
        <v>0</v>
      </c>
      <c r="D27" s="37">
        <f t="shared" ref="D27:D37" si="1">C27-B27</f>
        <v>-0.83435663469135379</v>
      </c>
      <c r="E27" s="37">
        <f t="shared" ref="E27:F37" si="2">(E11/$B$5)+E26</f>
        <v>2.5375536840905818E-2</v>
      </c>
      <c r="F27" s="37">
        <f t="shared" si="2"/>
        <v>0</v>
      </c>
      <c r="G27" s="26">
        <f t="shared" ref="G27:G37" si="3">F27-E27</f>
        <v>-2.5375536840905818E-2</v>
      </c>
    </row>
    <row r="28" spans="1:9" x14ac:dyDescent="0.25">
      <c r="A28" s="36" t="s">
        <v>16</v>
      </c>
      <c r="B28" s="37">
        <f t="shared" si="0"/>
        <v>0.8583807007157781</v>
      </c>
      <c r="C28" s="37">
        <f t="shared" si="0"/>
        <v>0</v>
      </c>
      <c r="D28" s="37">
        <f t="shared" si="1"/>
        <v>-0.8583807007157781</v>
      </c>
      <c r="E28" s="37">
        <f t="shared" si="2"/>
        <v>9.4627391512075179E-2</v>
      </c>
      <c r="F28" s="37">
        <f t="shared" si="2"/>
        <v>0</v>
      </c>
      <c r="G28" s="26">
        <f t="shared" si="3"/>
        <v>-9.4627391512075179E-2</v>
      </c>
    </row>
    <row r="29" spans="1:9" x14ac:dyDescent="0.25">
      <c r="A29" s="36" t="s">
        <v>17</v>
      </c>
      <c r="B29" s="37">
        <f t="shared" si="0"/>
        <v>0.96599485084865366</v>
      </c>
      <c r="C29" s="37">
        <f t="shared" si="0"/>
        <v>0</v>
      </c>
      <c r="D29" s="37">
        <f t="shared" si="1"/>
        <v>-0.96599485084865366</v>
      </c>
      <c r="E29" s="37">
        <f t="shared" si="2"/>
        <v>0.22606676110703683</v>
      </c>
      <c r="F29" s="37">
        <f t="shared" si="2"/>
        <v>0</v>
      </c>
      <c r="G29" s="26">
        <f t="shared" si="3"/>
        <v>-0.22606676110703683</v>
      </c>
      <c r="H29" s="97"/>
      <c r="I29" s="97"/>
    </row>
    <row r="30" spans="1:9" x14ac:dyDescent="0.25">
      <c r="A30" s="36" t="s">
        <v>12</v>
      </c>
      <c r="B30" s="37">
        <f t="shared" si="0"/>
        <v>0.968610645959598</v>
      </c>
      <c r="C30" s="37">
        <f t="shared" si="0"/>
        <v>0</v>
      </c>
      <c r="D30" s="37">
        <f t="shared" si="1"/>
        <v>-0.968610645959598</v>
      </c>
      <c r="E30" s="37">
        <f t="shared" si="2"/>
        <v>0.30573095156674934</v>
      </c>
      <c r="F30" s="37">
        <f t="shared" si="2"/>
        <v>0</v>
      </c>
      <c r="G30" s="26">
        <f t="shared" si="3"/>
        <v>-0.30573095156674934</v>
      </c>
    </row>
    <row r="31" spans="1:9" x14ac:dyDescent="0.25">
      <c r="A31" s="36" t="s">
        <v>18</v>
      </c>
      <c r="B31" s="37">
        <f t="shared" si="0"/>
        <v>0.97292670789265612</v>
      </c>
      <c r="C31" s="37">
        <f t="shared" si="0"/>
        <v>0</v>
      </c>
      <c r="D31" s="37">
        <f t="shared" si="1"/>
        <v>-0.97292670789265612</v>
      </c>
      <c r="E31" s="37">
        <f t="shared" si="2"/>
        <v>0.38735698835967008</v>
      </c>
      <c r="F31" s="37">
        <f t="shared" si="2"/>
        <v>0</v>
      </c>
      <c r="G31" s="26">
        <f t="shared" si="3"/>
        <v>-0.38735698835967008</v>
      </c>
    </row>
    <row r="32" spans="1:9" x14ac:dyDescent="0.25">
      <c r="A32" s="36" t="s">
        <v>19</v>
      </c>
      <c r="B32" s="37">
        <f t="shared" si="0"/>
        <v>0.98394862661898286</v>
      </c>
      <c r="C32" s="37">
        <f t="shared" si="0"/>
        <v>0</v>
      </c>
      <c r="D32" s="37">
        <f t="shared" si="1"/>
        <v>-0.98394862661898286</v>
      </c>
      <c r="E32" s="37">
        <f t="shared" si="2"/>
        <v>0.47061538593362451</v>
      </c>
      <c r="F32" s="37">
        <f>(F16/$B$5)+F31</f>
        <v>0</v>
      </c>
      <c r="G32" s="26">
        <f t="shared" si="3"/>
        <v>-0.47061538593362451</v>
      </c>
    </row>
    <row r="33" spans="1:7" x14ac:dyDescent="0.25">
      <c r="A33" s="36" t="s">
        <v>20</v>
      </c>
      <c r="B33" s="37">
        <f t="shared" si="0"/>
        <v>0.98787231928539931</v>
      </c>
      <c r="C33" s="37">
        <f t="shared" si="0"/>
        <v>0</v>
      </c>
      <c r="D33" s="37">
        <f t="shared" si="1"/>
        <v>-0.98787231928539931</v>
      </c>
      <c r="E33" s="37">
        <f t="shared" si="2"/>
        <v>0.55320979007661686</v>
      </c>
      <c r="F33" s="37">
        <f t="shared" si="2"/>
        <v>0</v>
      </c>
      <c r="G33" s="26">
        <f t="shared" si="3"/>
        <v>-0.55320979007661686</v>
      </c>
    </row>
    <row r="34" spans="1:7" x14ac:dyDescent="0.25">
      <c r="A34" s="36" t="s">
        <v>21</v>
      </c>
      <c r="B34" s="37">
        <f t="shared" si="0"/>
        <v>0.99179601195181577</v>
      </c>
      <c r="C34" s="37">
        <f t="shared" si="0"/>
        <v>0</v>
      </c>
      <c r="D34" s="37">
        <f t="shared" si="1"/>
        <v>-0.99179601195181577</v>
      </c>
      <c r="E34" s="37">
        <f t="shared" si="2"/>
        <v>0.63580419421960921</v>
      </c>
      <c r="F34" s="37">
        <f t="shared" si="2"/>
        <v>0</v>
      </c>
      <c r="G34" s="26">
        <f t="shared" si="3"/>
        <v>-0.63580419421960921</v>
      </c>
    </row>
    <row r="35" spans="1:7" x14ac:dyDescent="0.25">
      <c r="A35" s="36" t="s">
        <v>22</v>
      </c>
      <c r="B35" s="37">
        <f t="shared" si="0"/>
        <v>0.99441180706276011</v>
      </c>
      <c r="C35" s="37">
        <f t="shared" si="0"/>
        <v>0</v>
      </c>
      <c r="D35" s="37">
        <f t="shared" si="1"/>
        <v>-0.99441180706276011</v>
      </c>
      <c r="E35" s="37">
        <f t="shared" si="2"/>
        <v>0.71970649591807367</v>
      </c>
      <c r="F35" s="37">
        <f t="shared" si="2"/>
        <v>0</v>
      </c>
      <c r="G35" s="26">
        <f t="shared" si="3"/>
        <v>-0.71970649591807367</v>
      </c>
    </row>
    <row r="36" spans="1:7" x14ac:dyDescent="0.25">
      <c r="A36" s="36" t="s">
        <v>23</v>
      </c>
      <c r="B36" s="37">
        <f t="shared" si="0"/>
        <v>0.99702760217370445</v>
      </c>
      <c r="C36" s="37">
        <f t="shared" si="0"/>
        <v>0</v>
      </c>
      <c r="D36" s="37">
        <f t="shared" si="1"/>
        <v>-0.99702760217370445</v>
      </c>
      <c r="E36" s="37">
        <f t="shared" si="2"/>
        <v>0.85512705196089966</v>
      </c>
      <c r="F36" s="37">
        <f t="shared" si="2"/>
        <v>0</v>
      </c>
      <c r="G36" s="26">
        <f t="shared" si="3"/>
        <v>-0.85512705196089966</v>
      </c>
    </row>
    <row r="37" spans="1:7" x14ac:dyDescent="0.25">
      <c r="A37" s="36" t="s">
        <v>24</v>
      </c>
      <c r="B37" s="37">
        <f t="shared" si="0"/>
        <v>1</v>
      </c>
      <c r="C37" s="37">
        <f t="shared" si="0"/>
        <v>0</v>
      </c>
      <c r="D37" s="37">
        <f t="shared" si="1"/>
        <v>-1</v>
      </c>
      <c r="E37" s="37">
        <f t="shared" si="2"/>
        <v>0.99999999999999978</v>
      </c>
      <c r="F37" s="37">
        <f t="shared" si="2"/>
        <v>0</v>
      </c>
      <c r="G37" s="26">
        <f t="shared" si="3"/>
        <v>-0.99999999999999978</v>
      </c>
    </row>
    <row r="40" spans="1:7" ht="15.75" customHeight="1" x14ac:dyDescent="0.25"/>
  </sheetData>
  <autoFilter ref="A9:C21" xr:uid="{19207667-E69D-4BA5-B1C4-CDD125AA55EB}"/>
  <mergeCells count="4">
    <mergeCell ref="C2:F4"/>
    <mergeCell ref="I2:K3"/>
    <mergeCell ref="A6:F6"/>
    <mergeCell ref="C5:F5"/>
  </mergeCells>
  <conditionalFormatting sqref="J5">
    <cfRule type="cellIs" dxfId="23" priority="4" operator="lessThan">
      <formula>0.0298</formula>
    </cfRule>
    <cfRule type="cellIs" dxfId="22" priority="5" operator="between">
      <formula>0.0299</formula>
      <formula>0.0599</formula>
    </cfRule>
    <cfRule type="cellIs" dxfId="21" priority="6" operator="greaterThan">
      <formula>0.06</formula>
    </cfRule>
  </conditionalFormatting>
  <conditionalFormatting sqref="K5">
    <cfRule type="cellIs" dxfId="20" priority="1" operator="lessThan">
      <formula>0.0298</formula>
    </cfRule>
    <cfRule type="cellIs" dxfId="19" priority="2" operator="between">
      <formula>0.0299</formula>
      <formula>0.0599</formula>
    </cfRule>
    <cfRule type="cellIs" dxfId="18" priority="3" operator="greaterThan">
      <formula>0.06</formula>
    </cfRule>
  </conditionalFormatting>
  <dataValidations count="1">
    <dataValidation type="list" allowBlank="1" showInputMessage="1" showErrorMessage="1" sqref="I5" xr:uid="{C0669DB2-9827-477E-9865-2D1E08BA1EF1}">
      <formula1>$A$10:$A$21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AF825-183D-491C-96E4-E741C06A230E}">
  <sheetPr>
    <tabColor theme="9"/>
  </sheetPr>
  <dimension ref="A2:U36"/>
  <sheetViews>
    <sheetView topLeftCell="A10" zoomScale="95" workbookViewId="0">
      <selection activeCell="F40" sqref="F40"/>
    </sheetView>
  </sheetViews>
  <sheetFormatPr baseColWidth="10" defaultColWidth="11.42578125" defaultRowHeight="15" x14ac:dyDescent="0.25"/>
  <cols>
    <col min="1" max="1" width="23.140625" style="2" bestFit="1" customWidth="1"/>
    <col min="2" max="2" width="21.28515625" style="2" bestFit="1" customWidth="1"/>
    <col min="3" max="3" width="24.5703125" style="2" bestFit="1" customWidth="1"/>
    <col min="4" max="4" width="26.140625" style="2" hidden="1" customWidth="1"/>
    <col min="5" max="5" width="15.7109375" style="2" bestFit="1" customWidth="1"/>
    <col min="6" max="6" width="18.28515625" style="2" customWidth="1"/>
    <col min="7" max="7" width="20.5703125" style="2" hidden="1" customWidth="1"/>
    <col min="8" max="8" width="16.140625" style="2" bestFit="1" customWidth="1"/>
    <col min="9" max="9" width="14.140625" style="2" customWidth="1"/>
    <col min="10" max="10" width="11.42578125" style="2"/>
    <col min="11" max="11" width="14.85546875" style="2" customWidth="1"/>
    <col min="12" max="12" width="14.7109375" style="2" customWidth="1"/>
    <col min="13" max="17" width="11.42578125" style="2"/>
    <col min="18" max="18" width="13" style="2" bestFit="1" customWidth="1"/>
    <col min="19" max="19" width="11.42578125" style="2"/>
    <col min="20" max="20" width="14" style="2" bestFit="1" customWidth="1"/>
    <col min="21" max="21" width="13" style="2" bestFit="1" customWidth="1"/>
    <col min="22" max="16384" width="11.42578125" style="2"/>
  </cols>
  <sheetData>
    <row r="2" spans="1:21" ht="60" customHeight="1" x14ac:dyDescent="0.25">
      <c r="A2" s="158" t="s">
        <v>48</v>
      </c>
      <c r="B2" s="160">
        <v>2018011000805</v>
      </c>
      <c r="C2" s="199" t="s">
        <v>51</v>
      </c>
      <c r="D2" s="199"/>
      <c r="E2" s="199"/>
      <c r="F2" s="199"/>
      <c r="G2" s="159"/>
      <c r="J2" s="179" t="s">
        <v>2</v>
      </c>
      <c r="K2" s="180"/>
      <c r="L2" s="181"/>
    </row>
    <row r="3" spans="1:21" x14ac:dyDescent="0.25">
      <c r="A3" s="39" t="s">
        <v>0</v>
      </c>
      <c r="B3" s="19">
        <v>3360582834</v>
      </c>
      <c r="C3" s="199"/>
      <c r="D3" s="199"/>
      <c r="E3" s="199"/>
      <c r="F3" s="199"/>
      <c r="G3" s="159"/>
      <c r="J3" s="182"/>
      <c r="K3" s="183"/>
      <c r="L3" s="184"/>
    </row>
    <row r="4" spans="1:21" ht="30" x14ac:dyDescent="0.25">
      <c r="A4" s="40" t="s">
        <v>3</v>
      </c>
      <c r="B4" s="20">
        <v>0</v>
      </c>
      <c r="C4" s="199"/>
      <c r="D4" s="199"/>
      <c r="E4" s="199"/>
      <c r="F4" s="199"/>
      <c r="G4" s="159"/>
      <c r="J4" s="18" t="s">
        <v>5</v>
      </c>
      <c r="K4" s="45" t="s">
        <v>6</v>
      </c>
      <c r="L4" s="45" t="s">
        <v>7</v>
      </c>
      <c r="R4" s="51"/>
    </row>
    <row r="5" spans="1:21" x14ac:dyDescent="0.25">
      <c r="A5" s="41" t="s">
        <v>4</v>
      </c>
      <c r="B5" s="42">
        <f>B3-B4</f>
        <v>3360582834</v>
      </c>
      <c r="C5" s="200"/>
      <c r="D5" s="201"/>
      <c r="E5" s="201"/>
      <c r="F5" s="202"/>
      <c r="G5" s="22"/>
      <c r="H5" s="51"/>
      <c r="J5" s="46" t="s">
        <v>19</v>
      </c>
      <c r="K5" s="47">
        <f>VLOOKUP($J$5,A25:G36,4,0)*(1)</f>
        <v>-0.73925013508534754</v>
      </c>
      <c r="L5" s="47">
        <f>VLOOKUP($J$5,A25:G36,7,0)*(1)</f>
        <v>-0.34257608051738153</v>
      </c>
    </row>
    <row r="6" spans="1:21" ht="15" customHeight="1" x14ac:dyDescent="0.25">
      <c r="A6" s="197"/>
      <c r="B6" s="198"/>
      <c r="C6" s="198"/>
      <c r="D6" s="198"/>
      <c r="E6" s="198"/>
      <c r="F6" s="198"/>
      <c r="G6" s="159"/>
    </row>
    <row r="7" spans="1:21" ht="45" x14ac:dyDescent="0.25">
      <c r="A7" s="43"/>
      <c r="B7" s="44" t="s">
        <v>38</v>
      </c>
      <c r="C7" s="44" t="s">
        <v>39</v>
      </c>
      <c r="D7" s="44"/>
      <c r="E7" s="44" t="s">
        <v>40</v>
      </c>
      <c r="F7" s="44" t="s">
        <v>41</v>
      </c>
      <c r="G7" s="23"/>
      <c r="H7" s="94"/>
      <c r="I7" s="103"/>
    </row>
    <row r="8" spans="1:21" ht="40.5" customHeight="1" x14ac:dyDescent="0.25">
      <c r="A8" s="27" t="s">
        <v>13</v>
      </c>
      <c r="B8" s="28">
        <f>SUBTOTAL(9,B9:B20)</f>
        <v>3226159521</v>
      </c>
      <c r="C8" s="29">
        <f>SUBTOTAL(9,C9:C20)</f>
        <v>0</v>
      </c>
      <c r="D8" s="29"/>
      <c r="E8" s="28">
        <f>SUBTOTAL(9,E9:E20)</f>
        <v>3163574833.0000005</v>
      </c>
      <c r="F8" s="29">
        <f>SUBTOTAL(9,F9:F20)</f>
        <v>0</v>
      </c>
      <c r="G8" s="21"/>
      <c r="I8" s="10"/>
    </row>
    <row r="9" spans="1:21" x14ac:dyDescent="0.25">
      <c r="A9" s="30" t="s">
        <v>14</v>
      </c>
      <c r="B9" s="31">
        <v>701426333</v>
      </c>
      <c r="C9" s="31">
        <v>0</v>
      </c>
      <c r="D9" s="31"/>
      <c r="E9" s="31">
        <v>0</v>
      </c>
      <c r="F9" s="31">
        <v>0</v>
      </c>
      <c r="G9" s="24"/>
      <c r="I9" s="10"/>
    </row>
    <row r="10" spans="1:21" x14ac:dyDescent="0.25">
      <c r="A10" s="30" t="s">
        <v>15</v>
      </c>
      <c r="B10" s="31">
        <v>503206960</v>
      </c>
      <c r="C10" s="31">
        <v>0</v>
      </c>
      <c r="D10" s="31"/>
      <c r="E10" s="31">
        <v>38502731.240000002</v>
      </c>
      <c r="F10" s="31">
        <v>0</v>
      </c>
      <c r="G10" s="24"/>
      <c r="H10" s="10"/>
      <c r="I10" s="10"/>
    </row>
    <row r="11" spans="1:21" x14ac:dyDescent="0.25">
      <c r="A11" s="30" t="s">
        <v>16</v>
      </c>
      <c r="B11" s="31">
        <v>0</v>
      </c>
      <c r="C11" s="31">
        <v>0</v>
      </c>
      <c r="D11" s="31"/>
      <c r="E11" s="31">
        <v>197867076.79999998</v>
      </c>
      <c r="F11" s="31">
        <v>0</v>
      </c>
      <c r="G11" s="24"/>
      <c r="H11" s="10"/>
      <c r="I11" s="10"/>
      <c r="T11" s="51"/>
      <c r="U11" s="51"/>
    </row>
    <row r="12" spans="1:21" x14ac:dyDescent="0.25">
      <c r="A12" s="30" t="s">
        <v>17</v>
      </c>
      <c r="B12" s="31">
        <v>15525000</v>
      </c>
      <c r="C12" s="31">
        <v>0</v>
      </c>
      <c r="D12" s="31"/>
      <c r="E12" s="31">
        <v>93367076.799999997</v>
      </c>
      <c r="F12" s="31">
        <v>0</v>
      </c>
      <c r="G12" s="24"/>
      <c r="H12" s="10"/>
      <c r="I12" s="10"/>
    </row>
    <row r="13" spans="1:21" x14ac:dyDescent="0.25">
      <c r="A13" s="30" t="s">
        <v>12</v>
      </c>
      <c r="B13" s="31">
        <v>208943541</v>
      </c>
      <c r="C13" s="31">
        <v>0</v>
      </c>
      <c r="D13" s="31"/>
      <c r="E13" s="31">
        <v>108892076.8</v>
      </c>
      <c r="F13" s="31">
        <v>0</v>
      </c>
      <c r="G13" s="24"/>
      <c r="H13" s="10"/>
      <c r="I13" s="10"/>
    </row>
    <row r="14" spans="1:21" x14ac:dyDescent="0.25">
      <c r="A14" s="30" t="s">
        <v>18</v>
      </c>
      <c r="B14" s="31">
        <v>703029740</v>
      </c>
      <c r="C14" s="31">
        <v>0</v>
      </c>
      <c r="D14" s="31"/>
      <c r="E14" s="31">
        <v>166073296.94285712</v>
      </c>
      <c r="F14" s="31">
        <v>0</v>
      </c>
      <c r="G14" s="24"/>
      <c r="H14" s="10"/>
      <c r="I14" s="10"/>
    </row>
    <row r="15" spans="1:21" x14ac:dyDescent="0.25">
      <c r="A15" s="30" t="s">
        <v>19</v>
      </c>
      <c r="B15" s="31">
        <v>352179740</v>
      </c>
      <c r="C15" s="31">
        <v>0</v>
      </c>
      <c r="D15" s="31"/>
      <c r="E15" s="31">
        <v>546553036.94285727</v>
      </c>
      <c r="F15" s="31">
        <v>0</v>
      </c>
      <c r="G15" s="24"/>
      <c r="H15" s="10"/>
      <c r="I15" s="10"/>
    </row>
    <row r="16" spans="1:21" x14ac:dyDescent="0.25">
      <c r="A16" s="30" t="s">
        <v>20</v>
      </c>
      <c r="B16" s="31">
        <v>309129740</v>
      </c>
      <c r="C16" s="31">
        <v>0</v>
      </c>
      <c r="D16" s="31"/>
      <c r="E16" s="31">
        <v>530403036.94285727</v>
      </c>
      <c r="F16" s="31">
        <v>0</v>
      </c>
      <c r="G16" s="24"/>
      <c r="H16" s="10"/>
      <c r="I16" s="10"/>
    </row>
    <row r="17" spans="1:9" x14ac:dyDescent="0.25">
      <c r="A17" s="30" t="s">
        <v>21</v>
      </c>
      <c r="B17" s="31">
        <v>62100000</v>
      </c>
      <c r="C17" s="31">
        <v>0</v>
      </c>
      <c r="D17" s="31"/>
      <c r="E17" s="31">
        <v>477803036.94285715</v>
      </c>
      <c r="F17" s="31">
        <v>0</v>
      </c>
      <c r="G17" s="24"/>
      <c r="H17" s="10"/>
      <c r="I17" s="10"/>
    </row>
    <row r="18" spans="1:9" x14ac:dyDescent="0.25">
      <c r="A18" s="30" t="s">
        <v>22</v>
      </c>
      <c r="B18" s="31">
        <v>0</v>
      </c>
      <c r="C18" s="31">
        <v>0</v>
      </c>
      <c r="D18" s="31"/>
      <c r="E18" s="31">
        <v>230773296.94285712</v>
      </c>
      <c r="F18" s="31">
        <v>0</v>
      </c>
      <c r="G18" s="24"/>
      <c r="H18" s="10"/>
      <c r="I18" s="10"/>
    </row>
    <row r="19" spans="1:9" x14ac:dyDescent="0.25">
      <c r="A19" s="30" t="s">
        <v>23</v>
      </c>
      <c r="B19" s="31">
        <v>175179739</v>
      </c>
      <c r="C19" s="31">
        <v>0</v>
      </c>
      <c r="D19" s="31"/>
      <c r="E19" s="31">
        <v>168673296.94285712</v>
      </c>
      <c r="F19" s="31">
        <v>0</v>
      </c>
      <c r="G19" s="24"/>
      <c r="H19" s="10"/>
      <c r="I19" s="10"/>
    </row>
    <row r="20" spans="1:9" x14ac:dyDescent="0.25">
      <c r="A20" s="30" t="s">
        <v>24</v>
      </c>
      <c r="B20" s="31">
        <v>195438728</v>
      </c>
      <c r="C20" s="31">
        <v>0</v>
      </c>
      <c r="D20" s="31"/>
      <c r="E20" s="31">
        <v>604666869.70285714</v>
      </c>
      <c r="F20" s="31">
        <v>0</v>
      </c>
      <c r="G20" s="24"/>
      <c r="H20" s="10"/>
      <c r="I20" s="10"/>
    </row>
    <row r="21" spans="1:9" x14ac:dyDescent="0.25">
      <c r="A21" s="49"/>
      <c r="B21" s="101"/>
      <c r="C21" s="101"/>
      <c r="D21" s="50"/>
      <c r="E21" s="101"/>
      <c r="F21" s="101"/>
      <c r="G21" s="24"/>
      <c r="H21" s="101"/>
      <c r="I21" s="101"/>
    </row>
    <row r="22" spans="1:9" x14ac:dyDescent="0.25">
      <c r="A22" s="49"/>
      <c r="B22" s="50"/>
      <c r="C22" s="50"/>
      <c r="D22" s="50"/>
      <c r="E22" s="50"/>
      <c r="F22" s="50"/>
      <c r="G22" s="24"/>
      <c r="H22" s="10"/>
      <c r="I22" s="10"/>
    </row>
    <row r="23" spans="1:9" ht="30" x14ac:dyDescent="0.25">
      <c r="A23" s="33" t="s">
        <v>25</v>
      </c>
      <c r="B23" s="35">
        <f>SUM(B9:B20)/B5</f>
        <v>0.96000000010712427</v>
      </c>
      <c r="C23" s="34">
        <f>SUM(C9:C20)/B5</f>
        <v>0</v>
      </c>
      <c r="D23" s="34">
        <f>C23-B23</f>
        <v>-0.96000000010712427</v>
      </c>
      <c r="E23" s="35">
        <f>SUM(E9:E20)/B5</f>
        <v>0.94137683528975635</v>
      </c>
      <c r="F23" s="34">
        <f>SUM(F9:F20)/B5</f>
        <v>0</v>
      </c>
      <c r="G23" s="32">
        <f>F23-E23</f>
        <v>-0.94137683528975635</v>
      </c>
      <c r="H23" s="10"/>
      <c r="I23" s="10"/>
    </row>
    <row r="24" spans="1:9" ht="45" x14ac:dyDescent="0.25">
      <c r="A24" s="33"/>
      <c r="B24" s="48" t="s">
        <v>38</v>
      </c>
      <c r="C24" s="44" t="s">
        <v>39</v>
      </c>
      <c r="D24" s="44"/>
      <c r="E24" s="48" t="s">
        <v>40</v>
      </c>
      <c r="F24" s="44" t="s">
        <v>41</v>
      </c>
      <c r="G24" s="25"/>
      <c r="H24" s="10"/>
      <c r="I24" s="10"/>
    </row>
    <row r="25" spans="1:9" x14ac:dyDescent="0.25">
      <c r="A25" s="36" t="s">
        <v>14</v>
      </c>
      <c r="B25" s="37">
        <f>(B9/$B$5)</f>
        <v>0.20872163182632028</v>
      </c>
      <c r="C25" s="37">
        <f>(C9/$B$5)</f>
        <v>0</v>
      </c>
      <c r="D25" s="37">
        <f>C25-B25</f>
        <v>-0.20872163182632028</v>
      </c>
      <c r="E25" s="37">
        <f>(E9/$B$5)</f>
        <v>0</v>
      </c>
      <c r="F25" s="37">
        <f>(F9/$B$5)</f>
        <v>0</v>
      </c>
      <c r="G25" s="26">
        <f>F25-E25</f>
        <v>0</v>
      </c>
    </row>
    <row r="26" spans="1:9" x14ac:dyDescent="0.25">
      <c r="A26" s="36" t="s">
        <v>15</v>
      </c>
      <c r="B26" s="37">
        <f t="shared" ref="B26:C36" si="0">(B10/$B$5)+B25</f>
        <v>0.35845963408857906</v>
      </c>
      <c r="C26" s="37">
        <f t="shared" si="0"/>
        <v>0</v>
      </c>
      <c r="D26" s="37">
        <f t="shared" ref="D26:D36" si="1">C26-B26</f>
        <v>-0.35845963408857906</v>
      </c>
      <c r="E26" s="37">
        <f t="shared" ref="E26:F36" si="2">(E10/$B$5)+E25</f>
        <v>1.1457158814970012E-2</v>
      </c>
      <c r="F26" s="37">
        <f t="shared" si="2"/>
        <v>0</v>
      </c>
      <c r="G26" s="26">
        <f t="shared" ref="G26:G36" si="3">F26-E26</f>
        <v>-1.1457158814970012E-2</v>
      </c>
    </row>
    <row r="27" spans="1:9" x14ac:dyDescent="0.25">
      <c r="A27" s="36" t="s">
        <v>16</v>
      </c>
      <c r="B27" s="37">
        <f t="shared" si="0"/>
        <v>0.35845963408857906</v>
      </c>
      <c r="C27" s="37">
        <f t="shared" si="0"/>
        <v>0</v>
      </c>
      <c r="D27" s="37">
        <f t="shared" si="1"/>
        <v>-0.35845963408857906</v>
      </c>
      <c r="E27" s="37">
        <f t="shared" si="2"/>
        <v>7.0335956503906838E-2</v>
      </c>
      <c r="F27" s="37">
        <f t="shared" si="2"/>
        <v>0</v>
      </c>
      <c r="G27" s="26">
        <f t="shared" si="3"/>
        <v>-7.0335956503906838E-2</v>
      </c>
    </row>
    <row r="28" spans="1:9" x14ac:dyDescent="0.25">
      <c r="A28" s="152" t="s">
        <v>17</v>
      </c>
      <c r="B28" s="153">
        <f t="shared" si="0"/>
        <v>0.36307936845219274</v>
      </c>
      <c r="C28" s="153">
        <f t="shared" si="0"/>
        <v>0</v>
      </c>
      <c r="D28" s="153">
        <f t="shared" si="1"/>
        <v>-0.36307936845219274</v>
      </c>
      <c r="E28" s="153">
        <f t="shared" si="2"/>
        <v>9.811895767125732E-2</v>
      </c>
      <c r="F28" s="153">
        <f t="shared" si="2"/>
        <v>0</v>
      </c>
      <c r="G28" s="26">
        <f t="shared" si="3"/>
        <v>-9.811895767125732E-2</v>
      </c>
    </row>
    <row r="29" spans="1:9" x14ac:dyDescent="0.25">
      <c r="A29" s="36" t="s">
        <v>12</v>
      </c>
      <c r="B29" s="37">
        <f t="shared" si="0"/>
        <v>0.42525416113578829</v>
      </c>
      <c r="C29" s="37">
        <f t="shared" si="0"/>
        <v>0</v>
      </c>
      <c r="D29" s="37">
        <f t="shared" si="1"/>
        <v>-0.42525416113578829</v>
      </c>
      <c r="E29" s="37">
        <f t="shared" si="2"/>
        <v>0.13052169320222146</v>
      </c>
      <c r="F29" s="37">
        <f t="shared" si="2"/>
        <v>0</v>
      </c>
      <c r="G29" s="26">
        <f t="shared" si="3"/>
        <v>-0.13052169320222146</v>
      </c>
    </row>
    <row r="30" spans="1:9" x14ac:dyDescent="0.25">
      <c r="A30" s="36" t="s">
        <v>18</v>
      </c>
      <c r="B30" s="37">
        <f t="shared" si="0"/>
        <v>0.63445291466367115</v>
      </c>
      <c r="C30" s="37">
        <f t="shared" si="0"/>
        <v>0</v>
      </c>
      <c r="D30" s="38">
        <f t="shared" si="1"/>
        <v>-0.63445291466367115</v>
      </c>
      <c r="E30" s="37">
        <f t="shared" si="2"/>
        <v>0.17993969750273892</v>
      </c>
      <c r="F30" s="37">
        <f t="shared" si="2"/>
        <v>0</v>
      </c>
      <c r="G30" s="26">
        <f t="shared" si="3"/>
        <v>-0.17993969750273892</v>
      </c>
    </row>
    <row r="31" spans="1:9" x14ac:dyDescent="0.25">
      <c r="A31" s="36" t="s">
        <v>19</v>
      </c>
      <c r="B31" s="37">
        <f t="shared" si="0"/>
        <v>0.73925013508534754</v>
      </c>
      <c r="C31" s="37">
        <f t="shared" si="0"/>
        <v>0</v>
      </c>
      <c r="D31" s="37">
        <f t="shared" si="1"/>
        <v>-0.73925013508534754</v>
      </c>
      <c r="E31" s="37">
        <f t="shared" si="2"/>
        <v>0.34257608051738153</v>
      </c>
      <c r="F31" s="37">
        <f t="shared" si="2"/>
        <v>0</v>
      </c>
      <c r="G31" s="26">
        <f t="shared" si="3"/>
        <v>-0.34257608051738153</v>
      </c>
    </row>
    <row r="32" spans="1:9" x14ac:dyDescent="0.25">
      <c r="A32" s="123" t="s">
        <v>20</v>
      </c>
      <c r="B32" s="124">
        <f t="shared" si="0"/>
        <v>0.83123707760985366</v>
      </c>
      <c r="C32" s="124">
        <f t="shared" si="0"/>
        <v>0</v>
      </c>
      <c r="D32" s="37">
        <f t="shared" si="1"/>
        <v>-0.83123707760985366</v>
      </c>
      <c r="E32" s="124">
        <f t="shared" si="2"/>
        <v>0.50040674952414266</v>
      </c>
      <c r="F32" s="124">
        <f t="shared" si="2"/>
        <v>0</v>
      </c>
      <c r="G32" s="26">
        <f t="shared" si="3"/>
        <v>-0.50040674952414266</v>
      </c>
    </row>
    <row r="33" spans="1:7" x14ac:dyDescent="0.25">
      <c r="A33" s="36" t="s">
        <v>21</v>
      </c>
      <c r="B33" s="37">
        <f t="shared" si="0"/>
        <v>0.84971601506430827</v>
      </c>
      <c r="C33" s="37">
        <f t="shared" si="0"/>
        <v>0</v>
      </c>
      <c r="D33" s="37">
        <f t="shared" si="1"/>
        <v>-0.84971601506430827</v>
      </c>
      <c r="E33" s="37">
        <f t="shared" si="2"/>
        <v>0.64258537166932062</v>
      </c>
      <c r="F33" s="37">
        <f t="shared" si="2"/>
        <v>0</v>
      </c>
      <c r="G33" s="26">
        <f t="shared" si="3"/>
        <v>-0.64258537166932062</v>
      </c>
    </row>
    <row r="34" spans="1:7" x14ac:dyDescent="0.25">
      <c r="A34" s="36" t="s">
        <v>22</v>
      </c>
      <c r="B34" s="37">
        <f t="shared" si="0"/>
        <v>0.84971601506430827</v>
      </c>
      <c r="C34" s="37">
        <f t="shared" si="0"/>
        <v>0</v>
      </c>
      <c r="D34" s="37">
        <f t="shared" si="1"/>
        <v>-0.84971601506430827</v>
      </c>
      <c r="E34" s="37">
        <f t="shared" si="2"/>
        <v>0.71125598874444707</v>
      </c>
      <c r="F34" s="37">
        <f t="shared" si="2"/>
        <v>0</v>
      </c>
      <c r="G34" s="26">
        <f t="shared" si="3"/>
        <v>-0.71125598874444707</v>
      </c>
    </row>
    <row r="35" spans="1:7" x14ac:dyDescent="0.25">
      <c r="A35" s="36" t="s">
        <v>23</v>
      </c>
      <c r="B35" s="37">
        <f t="shared" si="0"/>
        <v>0.901843799931759</v>
      </c>
      <c r="C35" s="37">
        <f t="shared" si="0"/>
        <v>0</v>
      </c>
      <c r="D35" s="37">
        <f t="shared" si="1"/>
        <v>-0.901843799931759</v>
      </c>
      <c r="E35" s="37">
        <f t="shared" si="2"/>
        <v>0.76144766836511879</v>
      </c>
      <c r="F35" s="37">
        <f t="shared" si="2"/>
        <v>0</v>
      </c>
      <c r="G35" s="26">
        <f t="shared" si="3"/>
        <v>-0.76144766836511879</v>
      </c>
    </row>
    <row r="36" spans="1:7" x14ac:dyDescent="0.25">
      <c r="A36" s="36" t="s">
        <v>24</v>
      </c>
      <c r="B36" s="37">
        <f t="shared" si="0"/>
        <v>0.96000000010712416</v>
      </c>
      <c r="C36" s="37">
        <f t="shared" si="0"/>
        <v>0</v>
      </c>
      <c r="D36" s="37">
        <f t="shared" si="1"/>
        <v>-0.96000000010712416</v>
      </c>
      <c r="E36" s="37">
        <f t="shared" si="2"/>
        <v>0.94137683528975624</v>
      </c>
      <c r="F36" s="37">
        <f t="shared" si="2"/>
        <v>0</v>
      </c>
      <c r="G36" s="26">
        <f t="shared" si="3"/>
        <v>-0.94137683528975624</v>
      </c>
    </row>
  </sheetData>
  <autoFilter ref="A8:C20" xr:uid="{29CBFECF-23B4-40D0-8DD6-9C4F48DBD905}"/>
  <mergeCells count="4">
    <mergeCell ref="C2:F4"/>
    <mergeCell ref="J2:L3"/>
    <mergeCell ref="A6:F6"/>
    <mergeCell ref="C5:F5"/>
  </mergeCells>
  <conditionalFormatting sqref="K5">
    <cfRule type="cellIs" dxfId="17" priority="4" operator="lessThan">
      <formula>0.0298</formula>
    </cfRule>
    <cfRule type="cellIs" dxfId="16" priority="5" operator="between">
      <formula>0.0299</formula>
      <formula>0.0599</formula>
    </cfRule>
    <cfRule type="cellIs" dxfId="15" priority="6" operator="greaterThan">
      <formula>0.06</formula>
    </cfRule>
  </conditionalFormatting>
  <conditionalFormatting sqref="L5">
    <cfRule type="cellIs" dxfId="14" priority="1" operator="lessThan">
      <formula>0.0298</formula>
    </cfRule>
    <cfRule type="cellIs" dxfId="13" priority="2" operator="between">
      <formula>0.0299</formula>
      <formula>0.0599</formula>
    </cfRule>
    <cfRule type="cellIs" dxfId="12" priority="3" operator="greaterThan">
      <formula>0.06</formula>
    </cfRule>
  </conditionalFormatting>
  <dataValidations count="1">
    <dataValidation type="list" allowBlank="1" showInputMessage="1" showErrorMessage="1" sqref="J5" xr:uid="{6F5596AA-6AF1-4FFE-A9B3-EC9F98A82BAD}">
      <formula1>$A$9:$A$20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3FCA47EE78DA4D8E381B288F0B1A91" ma:contentTypeVersion="10" ma:contentTypeDescription="Crear nuevo documento." ma:contentTypeScope="" ma:versionID="2edc095bb8b6f06657e1d4b50531bc1a">
  <xsd:schema xmlns:xsd="http://www.w3.org/2001/XMLSchema" xmlns:xs="http://www.w3.org/2001/XMLSchema" xmlns:p="http://schemas.microsoft.com/office/2006/metadata/properties" xmlns:ns3="559ec1a2-13ee-4c96-b3bf-260cf952dacb" xmlns:ns4="32ab9999-8869-48b6-9aa5-e865c0354275" targetNamespace="http://schemas.microsoft.com/office/2006/metadata/properties" ma:root="true" ma:fieldsID="8d1b8b3e558fd031ada7f10d010ce452" ns3:_="" ns4:_="">
    <xsd:import namespace="559ec1a2-13ee-4c96-b3bf-260cf952dacb"/>
    <xsd:import namespace="32ab9999-8869-48b6-9aa5-e865c035427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ec1a2-13ee-4c96-b3bf-260cf952da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b9999-8869-48b6-9aa5-e865c035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C34E0B-71C1-409C-B77A-13BD788FBD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C974B-6F08-4DF2-BB84-A45D649B3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ec1a2-13ee-4c96-b3bf-260cf952dacb"/>
    <ds:schemaRef ds:uri="32ab9999-8869-48b6-9aa5-e865c03542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DF19E6-44D6-4969-BD0B-46746732813D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32ab9999-8869-48b6-9aa5-e865c0354275"/>
    <ds:schemaRef ds:uri="559ec1a2-13ee-4c96-b3bf-260cf952dac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MENÚ</vt:lpstr>
      <vt:lpstr>TOTAL Sector</vt:lpstr>
      <vt:lpstr>TOTAL ESAP</vt:lpstr>
      <vt:lpstr>TOTAL Función Pública</vt:lpstr>
      <vt:lpstr>Funcionamiento FP</vt:lpstr>
      <vt:lpstr>Total Inversión Función Pública</vt:lpstr>
      <vt:lpstr>Inversion Politicas</vt:lpstr>
      <vt:lpstr>Inversion Asesoria </vt:lpstr>
      <vt:lpstr>Inversion TICs</vt:lpstr>
      <vt:lpstr>Inversion Infraestructura</vt:lpstr>
      <vt:lpstr>Proyectos inversion </vt:lpstr>
    </vt:vector>
  </TitlesOfParts>
  <Manager/>
  <Company>Departamento Administrativo de la Función Pública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Jefferson Hernando Cendales Cruz</dc:creator>
  <cp:keywords/>
  <dc:description/>
  <cp:lastModifiedBy>Jefferson Hernando Cendales Cruz</cp:lastModifiedBy>
  <cp:revision/>
  <dcterms:created xsi:type="dcterms:W3CDTF">2020-02-20T16:05:59Z</dcterms:created>
  <dcterms:modified xsi:type="dcterms:W3CDTF">2021-09-21T15:51:17Z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0x010100993FCA47EE78DA4D8E381B288F0B1A91</vt:lpwstr>
  </property>
</Properties>
</file>